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25" windowWidth="9060" windowHeight="3930" tabRatio="757"/>
  </bookViews>
  <sheets>
    <sheet name="1-3" sheetId="16" r:id="rId1"/>
    <sheet name="2-3" sheetId="22" r:id="rId2"/>
    <sheet name="3-3" sheetId="17" r:id="rId3"/>
    <sheet name="4-3" sheetId="35" r:id="rId4"/>
    <sheet name="5-3" sheetId="3" r:id="rId5"/>
    <sheet name="6-3" sheetId="31" r:id="rId6"/>
    <sheet name="7-3" sheetId="36" r:id="rId7"/>
    <sheet name="8-3" sheetId="26" r:id="rId8"/>
    <sheet name="9-3" sheetId="33" r:id="rId9"/>
  </sheets>
  <definedNames>
    <definedName name="_xlnm.Print_Area" localSheetId="0">'1-3'!$A$1:$E$39</definedName>
    <definedName name="_xlnm.Print_Area" localSheetId="1">'2-3'!$A$1:$H$33</definedName>
    <definedName name="_xlnm.Print_Area" localSheetId="2">'3-3'!$A$1:$H$34</definedName>
    <definedName name="_xlnm.Print_Area" localSheetId="3">'4-3'!$A$1:$E$25</definedName>
    <definedName name="_xlnm.Print_Area" localSheetId="4">'5-3'!$A$1:$G$26</definedName>
    <definedName name="_xlnm.Print_Area" localSheetId="5">'6-3'!$A$1:$R$25</definedName>
    <definedName name="_xlnm.Print_Area" localSheetId="6">'7-3'!$A$1:$F$26</definedName>
    <definedName name="_xlnm.Print_Area" localSheetId="7">'8-3'!$A$1:$I$28</definedName>
    <definedName name="_xlnm.Print_Area" localSheetId="8">'9-3'!$A$1:$E$28</definedName>
  </definedNames>
  <calcPr calcId="124519"/>
</workbook>
</file>

<file path=xl/calcChain.xml><?xml version="1.0" encoding="utf-8"?>
<calcChain xmlns="http://schemas.openxmlformats.org/spreadsheetml/2006/main">
  <c r="E5" i="16"/>
  <c r="E6"/>
  <c r="E7"/>
  <c r="E8"/>
  <c r="E9"/>
  <c r="E4"/>
  <c r="D10"/>
  <c r="E10" s="1"/>
  <c r="B20" i="31"/>
  <c r="C20"/>
  <c r="E20"/>
  <c r="F20"/>
  <c r="H20"/>
  <c r="I20"/>
  <c r="J20"/>
  <c r="K20"/>
  <c r="L20"/>
  <c r="N20"/>
  <c r="O20"/>
  <c r="Q20"/>
  <c r="R20"/>
  <c r="F8" i="36"/>
  <c r="F9"/>
  <c r="F10"/>
  <c r="F11"/>
  <c r="F12"/>
  <c r="F13"/>
  <c r="F14"/>
  <c r="F15"/>
  <c r="F16"/>
  <c r="F17"/>
  <c r="F18"/>
  <c r="F5"/>
  <c r="F6"/>
  <c r="F7"/>
  <c r="F4"/>
  <c r="E19"/>
  <c r="D19"/>
  <c r="B19"/>
  <c r="C19"/>
  <c r="C8" i="35"/>
  <c r="D19" i="3"/>
  <c r="C19"/>
  <c r="F19" i="36" l="1"/>
  <c r="G14" i="3"/>
  <c r="H20" i="22" l="1"/>
  <c r="H26" s="1"/>
  <c r="C12" i="35" l="1"/>
  <c r="D12" s="1"/>
  <c r="E12" s="1"/>
  <c r="O6" i="31" l="1"/>
  <c r="F10"/>
  <c r="O7"/>
  <c r="N7"/>
  <c r="C7"/>
  <c r="C8"/>
  <c r="E10" i="33" l="1"/>
  <c r="D19"/>
  <c r="C19"/>
  <c r="B19"/>
  <c r="O15" i="31" l="1"/>
  <c r="N15"/>
  <c r="K15"/>
  <c r="F15"/>
  <c r="E15"/>
  <c r="C15"/>
  <c r="O14"/>
  <c r="N14"/>
  <c r="C14"/>
  <c r="R14" s="1"/>
  <c r="F14"/>
  <c r="E14"/>
  <c r="G7" i="3"/>
  <c r="G4"/>
  <c r="O13" i="31"/>
  <c r="N13"/>
  <c r="L13"/>
  <c r="K13"/>
  <c r="F13"/>
  <c r="E13"/>
  <c r="C13"/>
  <c r="R13" s="1"/>
  <c r="B13"/>
  <c r="O12"/>
  <c r="N12"/>
  <c r="K12"/>
  <c r="F12"/>
  <c r="E12"/>
  <c r="C12"/>
  <c r="O11"/>
  <c r="N11"/>
  <c r="L11"/>
  <c r="K11"/>
  <c r="F11"/>
  <c r="E11"/>
  <c r="Q11" s="1"/>
  <c r="C11"/>
  <c r="R11" s="1"/>
  <c r="O10"/>
  <c r="N10"/>
  <c r="E10"/>
  <c r="C10"/>
  <c r="N9"/>
  <c r="O9"/>
  <c r="K9"/>
  <c r="F9"/>
  <c r="E9"/>
  <c r="B9"/>
  <c r="C9"/>
  <c r="R8"/>
  <c r="Q8"/>
  <c r="O8"/>
  <c r="N8"/>
  <c r="K8"/>
  <c r="F8"/>
  <c r="E7"/>
  <c r="Q7" s="1"/>
  <c r="R7"/>
  <c r="F7"/>
  <c r="N6"/>
  <c r="C6"/>
  <c r="R5"/>
  <c r="Q5"/>
  <c r="O5"/>
  <c r="N5"/>
  <c r="Q6"/>
  <c r="R6"/>
  <c r="Q12"/>
  <c r="R12"/>
  <c r="Q13"/>
  <c r="Q14"/>
  <c r="Q15"/>
  <c r="R15"/>
  <c r="Q16"/>
  <c r="R16"/>
  <c r="Q17"/>
  <c r="R17"/>
  <c r="Q18"/>
  <c r="R18"/>
  <c r="Q19"/>
  <c r="R19"/>
  <c r="R10" l="1"/>
  <c r="Q10"/>
  <c r="Q9"/>
  <c r="R9"/>
  <c r="E8" i="33"/>
  <c r="E11"/>
  <c r="E12"/>
  <c r="E15"/>
  <c r="E16"/>
  <c r="E17"/>
  <c r="E18"/>
  <c r="E7"/>
  <c r="E5"/>
  <c r="G6" i="22" l="1"/>
  <c r="G7"/>
  <c r="G8"/>
  <c r="G9"/>
  <c r="G10"/>
  <c r="G11"/>
  <c r="G12"/>
  <c r="G13"/>
  <c r="G14"/>
  <c r="G15"/>
  <c r="G16"/>
  <c r="G17"/>
  <c r="G18"/>
  <c r="G19"/>
  <c r="G5"/>
  <c r="D20"/>
  <c r="D26" s="1"/>
  <c r="C7" i="35" l="1"/>
  <c r="D7" s="1"/>
  <c r="E7" s="1"/>
  <c r="D8"/>
  <c r="E8" s="1"/>
  <c r="C9"/>
  <c r="D9" s="1"/>
  <c r="E9" s="1"/>
  <c r="C10"/>
  <c r="D10" s="1"/>
  <c r="E10" s="1"/>
  <c r="C11"/>
  <c r="D11" s="1"/>
  <c r="E11" s="1"/>
  <c r="C6"/>
  <c r="D6" s="1"/>
  <c r="E6" s="1"/>
  <c r="H20" i="17" l="1"/>
  <c r="H11"/>
  <c r="H12"/>
  <c r="H14"/>
  <c r="H15"/>
  <c r="H16"/>
  <c r="H19"/>
  <c r="C25" i="22"/>
  <c r="C20"/>
  <c r="C26" l="1"/>
  <c r="E6" i="33"/>
  <c r="E4"/>
  <c r="E19" l="1"/>
  <c r="G5" i="3"/>
  <c r="G6"/>
  <c r="G8"/>
  <c r="G9"/>
  <c r="G10"/>
  <c r="G11"/>
  <c r="G12"/>
  <c r="G13"/>
  <c r="G15"/>
  <c r="G16"/>
  <c r="G17"/>
  <c r="G18"/>
  <c r="G19" l="1"/>
  <c r="E20" i="22"/>
  <c r="E26" s="1"/>
  <c r="F20"/>
  <c r="F26" s="1"/>
  <c r="G20" l="1"/>
  <c r="G26" s="1"/>
  <c r="G26" i="17" l="1"/>
  <c r="H24"/>
  <c r="H25"/>
  <c r="H23"/>
  <c r="G12" i="26" l="1"/>
  <c r="B26" i="17" l="1"/>
  <c r="H7"/>
  <c r="G21"/>
  <c r="G27" s="1"/>
  <c r="E9"/>
  <c r="H9" s="1"/>
  <c r="E10"/>
  <c r="H10" s="1"/>
  <c r="E13"/>
  <c r="H13" s="1"/>
  <c r="E8"/>
  <c r="H8" s="1"/>
  <c r="E6"/>
  <c r="C21"/>
  <c r="C27" s="1"/>
  <c r="B27" l="1"/>
  <c r="H26"/>
  <c r="E21"/>
  <c r="H6"/>
  <c r="H21" l="1"/>
  <c r="H27" s="1"/>
  <c r="E27"/>
</calcChain>
</file>

<file path=xl/sharedStrings.xml><?xml version="1.0" encoding="utf-8"?>
<sst xmlns="http://schemas.openxmlformats.org/spreadsheetml/2006/main" count="308" uniqueCount="128">
  <si>
    <t>المجموع</t>
  </si>
  <si>
    <t>كركوك</t>
  </si>
  <si>
    <t>ديالى</t>
  </si>
  <si>
    <t>بغداد</t>
  </si>
  <si>
    <t>بابل</t>
  </si>
  <si>
    <t>كربلاء</t>
  </si>
  <si>
    <t>واسط</t>
  </si>
  <si>
    <t>صلاح الدين</t>
  </si>
  <si>
    <t>النجف</t>
  </si>
  <si>
    <t>القادسية</t>
  </si>
  <si>
    <t>المثنى</t>
  </si>
  <si>
    <t>ذي قار</t>
  </si>
  <si>
    <t>ميسان</t>
  </si>
  <si>
    <t>البصرة</t>
  </si>
  <si>
    <t>المحافظة</t>
  </si>
  <si>
    <t>نينوى</t>
  </si>
  <si>
    <t>مراعي طبيعية</t>
  </si>
  <si>
    <t>غابات طبيعية</t>
  </si>
  <si>
    <t>جبلية جرداء</t>
  </si>
  <si>
    <t xml:space="preserve">صحراوية بادية </t>
  </si>
  <si>
    <t>نوع التصحر</t>
  </si>
  <si>
    <t>اربيل</t>
  </si>
  <si>
    <t>دهوك</t>
  </si>
  <si>
    <t xml:space="preserve">صلاح الدين </t>
  </si>
  <si>
    <t xml:space="preserve">البصرة </t>
  </si>
  <si>
    <t xml:space="preserve">القادسية </t>
  </si>
  <si>
    <t>شديد ــ شديد جداً</t>
  </si>
  <si>
    <t xml:space="preserve">شديد ــ شديد جداً </t>
  </si>
  <si>
    <t xml:space="preserve"> خفيف ــ متوسط       </t>
  </si>
  <si>
    <t xml:space="preserve"> خفيف ــ متوسط        </t>
  </si>
  <si>
    <t>الأنبار</t>
  </si>
  <si>
    <t>مجموع الأراضي الصالحة للزراعة</t>
  </si>
  <si>
    <t>سطوح مائية وأراضي سكنية</t>
  </si>
  <si>
    <t xml:space="preserve">مساحة الغابات الطبيعية </t>
  </si>
  <si>
    <t>جدول (3-2)</t>
  </si>
  <si>
    <t>جدول (3-3)</t>
  </si>
  <si>
    <t>جدول (3-5)</t>
  </si>
  <si>
    <t xml:space="preserve">(دونم)                                    </t>
  </si>
  <si>
    <t>(طن)</t>
  </si>
  <si>
    <t>الانبار</t>
  </si>
  <si>
    <t>إجمالي العراق</t>
  </si>
  <si>
    <t>إجمالي</t>
  </si>
  <si>
    <t>إقليم كردستان</t>
  </si>
  <si>
    <t>تملح التربة</t>
  </si>
  <si>
    <t>تصلب التربة</t>
  </si>
  <si>
    <t xml:space="preserve">    كلس             </t>
  </si>
  <si>
    <t xml:space="preserve">   جبس</t>
  </si>
  <si>
    <t>جدول (3-4)</t>
  </si>
  <si>
    <t>جدول (3-6)</t>
  </si>
  <si>
    <t>السليمانية</t>
  </si>
  <si>
    <t>المساحة (مليون) دونم</t>
  </si>
  <si>
    <t>قسم إحصاءات البيئة - الجهاز المركزي للإحصاء/ العراق</t>
  </si>
  <si>
    <t>(دونم)</t>
  </si>
  <si>
    <t>نوع الإستخدام</t>
  </si>
  <si>
    <t>البساتين</t>
  </si>
  <si>
    <t>سماد الداب</t>
  </si>
  <si>
    <t>سماد السوبر فوسفات الثلاثي</t>
  </si>
  <si>
    <t>سماد مركب 18x10</t>
  </si>
  <si>
    <t>التعرية الريحية</t>
  </si>
  <si>
    <t>التعرية المائية</t>
  </si>
  <si>
    <t>سماد اليوريا</t>
  </si>
  <si>
    <t>مبيد حشري</t>
  </si>
  <si>
    <t>مبيد فطري</t>
  </si>
  <si>
    <t>مبيد أدغال</t>
  </si>
  <si>
    <t>مساحات غابات مشاريع دائرة الغابات والتصحر</t>
  </si>
  <si>
    <t>..</t>
  </si>
  <si>
    <t>مبيد أمراض</t>
  </si>
  <si>
    <t>مبيد لاحشري</t>
  </si>
  <si>
    <t>.. بيانات غير متوفرة</t>
  </si>
  <si>
    <t xml:space="preserve">إجمالي المساحة المتأثرة بتعرية التربة والتصحر </t>
  </si>
  <si>
    <t>إستخدام الأراضي حسب المساحة ونسبتها المئوية في العراق</t>
  </si>
  <si>
    <t>المساحة المتأثرة (دونم)</t>
  </si>
  <si>
    <t>النسبة المئوية</t>
  </si>
  <si>
    <t xml:space="preserve">مساحة الغابات التابعة لمديريات زراعة المحافظات والقائمة لغاية 2016/12/31 </t>
  </si>
  <si>
    <t>الأراضي المستغلة حالياً (المزروعة) حسب طبيعة الارواء</t>
  </si>
  <si>
    <t xml:space="preserve"> جار العمل     </t>
  </si>
  <si>
    <t>مفتوح (لازال الخطر قائم)</t>
  </si>
  <si>
    <t>مغلق (رفع الخطر منها)</t>
  </si>
  <si>
    <t>الحقول المظللة تعني عدم شمول المحافظات بعمليات تطهير المناطق من الخطر</t>
  </si>
  <si>
    <r>
      <t xml:space="preserve">الأراضي الصالحة للزراعة </t>
    </r>
    <r>
      <rPr>
        <b/>
        <sz val="10"/>
        <color theme="0"/>
        <rFont val="Calibri"/>
        <family val="2"/>
      </rPr>
      <t>*</t>
    </r>
  </si>
  <si>
    <t>الأراضي المروية</t>
  </si>
  <si>
    <t>الأراضي الديمية</t>
  </si>
  <si>
    <t>الأراضي التي تستخدم مياه الآبار</t>
  </si>
  <si>
    <t>المصدر :  وزارة الزراعة / دائرة التخطيط والمتابعة / قسم الإحصاء</t>
  </si>
  <si>
    <t>جدول (3-7)</t>
  </si>
  <si>
    <t>جدول (3-8)</t>
  </si>
  <si>
    <t xml:space="preserve">مساحة الغابات الإصطناعية </t>
  </si>
  <si>
    <t xml:space="preserve">المجموع الكلّي لمساحة الغابات الطبيعية والإصطناعية </t>
  </si>
  <si>
    <t xml:space="preserve">كركوك </t>
  </si>
  <si>
    <t xml:space="preserve">* الغابات الطبيعية في محافظة كركوك ماعدا قضاء كرميان </t>
  </si>
  <si>
    <t>المساحة المتأثرة بتعرية التربة والتصحر في العراق لسنة 2016</t>
  </si>
  <si>
    <r>
      <t xml:space="preserve">ملاحظة : القيمة </t>
    </r>
    <r>
      <rPr>
        <b/>
        <sz val="9"/>
        <rFont val="Times New Roman"/>
        <family val="1"/>
        <scheme val="major"/>
      </rPr>
      <t>(0)</t>
    </r>
    <r>
      <rPr>
        <b/>
        <sz val="9"/>
        <rFont val="Arial"/>
        <family val="2"/>
      </rPr>
      <t xml:space="preserve"> تعني عدم أجراء عمليات الكشف عن المناطق الخطرة الملوثة في المحافظة أو قيمة المساحة أقل من (م²)</t>
    </r>
  </si>
  <si>
    <t>المصدر : وزارة الزراعة / دائرة التخطيط والمتابعة / قسم الإحصاء</t>
  </si>
  <si>
    <t>** لا يوجد تفاصيل حسب المؤشرات أعلاه لمساحات الغابات الإصطناعية</t>
  </si>
  <si>
    <t>الشدّة</t>
  </si>
  <si>
    <t>جدول (3-1)</t>
  </si>
  <si>
    <t>السنوات</t>
  </si>
  <si>
    <t>المجموع الكلّي لمساحة الغابات (الطبيعية والإصطناعية) (دونم)</t>
  </si>
  <si>
    <t>المجموع الكلّي لمساحة الغابات (الطبيعية والإصطناعية) (هكتار)</t>
  </si>
  <si>
    <r>
      <t>المجموع الكلّي لمساحة الغابات (الطبيعية والإصطناعية) (كم</t>
    </r>
    <r>
      <rPr>
        <b/>
        <sz val="10"/>
        <color theme="0"/>
        <rFont val="Calibri"/>
        <family val="2"/>
      </rPr>
      <t>²</t>
    </r>
    <r>
      <rPr>
        <b/>
        <sz val="10"/>
        <color theme="0"/>
        <rFont val="Arial"/>
        <family val="2"/>
      </rPr>
      <t>)</t>
    </r>
  </si>
  <si>
    <t>مساحة الغابات القائمة لغاية 2016/12/31</t>
  </si>
  <si>
    <t>المساحات المشجرة خلال عام 2017</t>
  </si>
  <si>
    <t>جدول (3-9)</t>
  </si>
  <si>
    <t>الأراضي الصحراوية</t>
  </si>
  <si>
    <t>الكثبان الرملية</t>
  </si>
  <si>
    <t xml:space="preserve"> </t>
  </si>
  <si>
    <t>مساحة الغابات الطبيعية والإصطناعية في العراق حسب المحافظة لسنة 2017</t>
  </si>
  <si>
    <t>كمية المبيدات المستخدمة حسب النوع والمحافظة لسنة 2017</t>
  </si>
  <si>
    <t>ملاحظة:  لا تتوفر بيانات لسنة 2017 لذلك تم نشر بيانات سنة 2016</t>
  </si>
  <si>
    <t xml:space="preserve">كمية الأسمدة المجهّزة حسب النوع والمحافظة لسنة 2017 </t>
  </si>
  <si>
    <t xml:space="preserve">                                            م²</t>
  </si>
  <si>
    <t>المصدر : وزارة الصحة والبيئة / القطاع البيئي / دائرة التخطيط والمتابعة الفنية</t>
  </si>
  <si>
    <t xml:space="preserve">المجموع الكلّي لمساحة الغابات (الطبيعية والإصطناعية) (كم²) = المجموع الكلّي لمساحة الغابات (الطبيعية والإصطناعية) (هكتار) / 100     </t>
  </si>
  <si>
    <t xml:space="preserve">المجموع الكلّي لمساحة الغابات (الطبيعية والإصطناعية) (هكتار) = المجموع الكلّي لمساحة الغابات (الطبيعية والإصطناعية) (دونم) / 4   </t>
  </si>
  <si>
    <t>كغم</t>
  </si>
  <si>
    <t>لتر</t>
  </si>
  <si>
    <t>الأراضي المتملحة والمتغدقة</t>
  </si>
  <si>
    <t>الأراضي المهددة بالتصحر</t>
  </si>
  <si>
    <t xml:space="preserve">المصدر : وزارة الصحة والبيئة / القطاع البيئي / دائرة التخطيط والمتابعة الفنية </t>
  </si>
  <si>
    <t>(م²)</t>
  </si>
  <si>
    <t>المجموع الكلّي</t>
  </si>
  <si>
    <t xml:space="preserve"> * بيانات الأراضي الصالحة للزراعة تمثل مساحات الأراضي الزراعية المنجزة من خلال أستخدام الصور الفضائية للمدة من (2004-2006) والمنفذّة من قبل وزارة الزراعة / دائرة التخطيط / قسم الخرائط البيئية الزراعية</t>
  </si>
  <si>
    <r>
      <t>نسبة مساحة الغابات الكلّية (الطبيعية والإصطناعية) من مساحة العراق (كم</t>
    </r>
    <r>
      <rPr>
        <b/>
        <sz val="10"/>
        <color theme="0"/>
        <rFont val="Calibri"/>
        <family val="2"/>
      </rPr>
      <t>²</t>
    </r>
    <r>
      <rPr>
        <b/>
        <sz val="10"/>
        <color theme="0"/>
        <rFont val="Arial"/>
        <family val="2"/>
      </rPr>
      <t xml:space="preserve">) </t>
    </r>
    <r>
      <rPr>
        <b/>
        <sz val="10"/>
        <color theme="0"/>
        <rFont val="Calibri"/>
        <family val="2"/>
      </rPr>
      <t>*</t>
    </r>
  </si>
  <si>
    <t xml:space="preserve">مساحة الأراضي الصالحة للزراعة والمزروعة حسب طريقة الأرواء والمحافظة لسنة 2017  </t>
  </si>
  <si>
    <t>مساحة الأراضي الصحراوية والمهددة بالتصحر والكثبان الرملية والمتملحة والمتغدقة حسب المحافظة لسنة 2017</t>
  </si>
  <si>
    <t>مساحة المناطق الخطرة الملوثة بـ (أرض مواجهات، ذخائر عنقودية، عبوات ناسفة، ذخائر غير منفجرة) حسب الحالة والمحافظة لسنة 2017</t>
  </si>
  <si>
    <t>نسبة مساحة الغابات من مساحة العراق عدا المياه الإقليمية للسنوات (2011 ـــ2017)</t>
  </si>
  <si>
    <r>
      <rPr>
        <b/>
        <sz val="9"/>
        <rFont val="Calibri"/>
        <family val="2"/>
      </rPr>
      <t>*</t>
    </r>
    <r>
      <rPr>
        <b/>
        <sz val="9"/>
        <rFont val="Arial"/>
        <family val="2"/>
      </rPr>
      <t xml:space="preserve"> مساحة العراق عدا المياه الإقليمية (434128) كم</t>
    </r>
    <r>
      <rPr>
        <b/>
        <sz val="9"/>
        <rFont val="Calibri"/>
        <family val="2"/>
      </rPr>
      <t>²</t>
    </r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</si>
</sst>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0.0"/>
    <numFmt numFmtId="165" formatCode="0.000"/>
    <numFmt numFmtId="166" formatCode="[$-1010000]d/m/yyyy;@"/>
    <numFmt numFmtId="167" formatCode="_(* #,##0_);_(* \(#,##0\);_(* &quot;-&quot;??_);_(@_)"/>
    <numFmt numFmtId="168" formatCode="#,##0.0"/>
    <numFmt numFmtId="169" formatCode="_(* #,##0.0_);_(* \(#,##0.0\);_(* &quot;-&quot;??_);_(@_)"/>
  </numFmts>
  <fonts count="30">
    <font>
      <sz val="10"/>
      <name val="Arial"/>
      <charset val="178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Simplified Arabic"/>
      <family val="1"/>
    </font>
    <font>
      <b/>
      <sz val="9"/>
      <name val="Simplified Arabic"/>
      <family val="1"/>
    </font>
    <font>
      <b/>
      <sz val="12"/>
      <name val="Times New Roman"/>
      <family val="1"/>
    </font>
    <font>
      <b/>
      <sz val="12"/>
      <name val="Simplified Arabic"/>
      <family val="1"/>
    </font>
    <font>
      <b/>
      <sz val="11"/>
      <name val="Simplified Arabic"/>
      <family val="1"/>
    </font>
    <font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b/>
      <sz val="10"/>
      <color theme="1"/>
      <name val="Simplified Arabic"/>
      <family val="1"/>
    </font>
    <font>
      <b/>
      <sz val="11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  <font>
      <b/>
      <sz val="10"/>
      <name val="Times New Roman"/>
      <family val="1"/>
      <scheme val="major"/>
    </font>
    <font>
      <b/>
      <sz val="10"/>
      <color theme="0"/>
      <name val="Calibri"/>
      <family val="2"/>
    </font>
    <font>
      <b/>
      <sz val="9"/>
      <name val="Arial"/>
      <family val="2"/>
      <scheme val="minor"/>
    </font>
    <font>
      <b/>
      <sz val="10"/>
      <name val="Arial"/>
      <family val="2"/>
      <scheme val="minor"/>
    </font>
    <font>
      <b/>
      <sz val="9"/>
      <name val="Times New Roman"/>
      <family val="1"/>
      <scheme val="major"/>
    </font>
    <font>
      <b/>
      <sz val="9"/>
      <name val="Calibri"/>
      <family val="2"/>
    </font>
    <font>
      <b/>
      <sz val="10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743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284">
    <xf numFmtId="0" fontId="0" fillId="0" borderId="0" xfId="0"/>
    <xf numFmtId="0" fontId="0" fillId="0" borderId="0" xfId="0" applyBorder="1"/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 readingOrder="2"/>
    </xf>
    <xf numFmtId="0" fontId="10" fillId="0" borderId="0" xfId="0" applyFont="1" applyBorder="1" applyAlignment="1">
      <alignment horizontal="center" vertical="center" wrapText="1"/>
    </xf>
    <xf numFmtId="0" fontId="13" fillId="0" borderId="0" xfId="0" applyFont="1"/>
    <xf numFmtId="0" fontId="8" fillId="0" borderId="0" xfId="0" applyFont="1" applyBorder="1" applyAlignment="1">
      <alignment horizontal="center" wrapText="1"/>
    </xf>
    <xf numFmtId="0" fontId="7" fillId="0" borderId="0" xfId="0" applyFont="1" applyBorder="1" applyAlignment="1">
      <alignment vertical="center" wrapText="1"/>
    </xf>
    <xf numFmtId="0" fontId="0" fillId="0" borderId="0" xfId="0"/>
    <xf numFmtId="0" fontId="4" fillId="0" borderId="0" xfId="0" applyFont="1" applyBorder="1" applyAlignment="1">
      <alignment horizontal="right" vertical="center" wrapText="1"/>
    </xf>
    <xf numFmtId="0" fontId="0" fillId="0" borderId="0" xfId="0"/>
    <xf numFmtId="0" fontId="13" fillId="0" borderId="0" xfId="0" applyFont="1" applyBorder="1"/>
    <xf numFmtId="0" fontId="0" fillId="0" borderId="0" xfId="0"/>
    <xf numFmtId="0" fontId="5" fillId="0" borderId="6" xfId="0" applyFont="1" applyFill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right" vertical="center" wrapText="1"/>
    </xf>
    <xf numFmtId="16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4" fillId="0" borderId="8" xfId="0" applyFont="1" applyBorder="1" applyAlignment="1">
      <alignment vertical="center" wrapText="1"/>
    </xf>
    <xf numFmtId="0" fontId="12" fillId="0" borderId="0" xfId="0" applyFont="1"/>
    <xf numFmtId="0" fontId="3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0" fillId="0" borderId="0" xfId="0"/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/>
    <xf numFmtId="0" fontId="3" fillId="0" borderId="5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0" fillId="0" borderId="0" xfId="0"/>
    <xf numFmtId="0" fontId="0" fillId="0" borderId="0" xfId="0"/>
    <xf numFmtId="0" fontId="5" fillId="0" borderId="0" xfId="0" applyFont="1" applyFill="1" applyBorder="1" applyAlignment="1">
      <alignment horizontal="center" vertical="center" wrapText="1"/>
    </xf>
    <xf numFmtId="0" fontId="0" fillId="0" borderId="0" xfId="0"/>
    <xf numFmtId="43" fontId="1" fillId="0" borderId="0" xfId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0" fillId="3" borderId="0" xfId="0" applyFill="1"/>
    <xf numFmtId="0" fontId="3" fillId="2" borderId="5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167" fontId="1" fillId="0" borderId="4" xfId="1" applyNumberFormat="1" applyFont="1" applyFill="1" applyBorder="1" applyAlignment="1">
      <alignment horizontal="right" vertical="center" wrapText="1"/>
    </xf>
    <xf numFmtId="167" fontId="1" fillId="0" borderId="4" xfId="1" applyNumberFormat="1" applyFont="1" applyFill="1" applyBorder="1" applyAlignment="1">
      <alignment horizontal="center" vertical="center" wrapText="1"/>
    </xf>
    <xf numFmtId="167" fontId="1" fillId="0" borderId="5" xfId="1" applyNumberFormat="1" applyFont="1" applyFill="1" applyBorder="1" applyAlignment="1">
      <alignment horizontal="right" vertical="center" wrapText="1"/>
    </xf>
    <xf numFmtId="167" fontId="1" fillId="0" borderId="1" xfId="1" applyNumberFormat="1" applyFont="1" applyFill="1" applyBorder="1" applyAlignment="1">
      <alignment horizontal="center" vertical="center" wrapText="1"/>
    </xf>
    <xf numFmtId="167" fontId="1" fillId="0" borderId="0" xfId="1" applyNumberFormat="1" applyFont="1" applyFill="1" applyBorder="1" applyAlignment="1">
      <alignment horizontal="right" vertical="center" wrapText="1"/>
    </xf>
    <xf numFmtId="167" fontId="13" fillId="0" borderId="0" xfId="0" applyNumberFormat="1" applyFont="1"/>
    <xf numFmtId="167" fontId="13" fillId="0" borderId="0" xfId="0" applyNumberFormat="1" applyFont="1" applyBorder="1"/>
    <xf numFmtId="167" fontId="1" fillId="0" borderId="0" xfId="1" applyNumberFormat="1" applyFont="1" applyFill="1" applyBorder="1" applyAlignment="1">
      <alignment horizontal="center" vertical="center" wrapText="1"/>
    </xf>
    <xf numFmtId="0" fontId="12" fillId="3" borderId="0" xfId="0" applyFont="1" applyFill="1"/>
    <xf numFmtId="0" fontId="0" fillId="0" borderId="0" xfId="0"/>
    <xf numFmtId="0" fontId="4" fillId="0" borderId="0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 readingOrder="2"/>
    </xf>
    <xf numFmtId="0" fontId="16" fillId="0" borderId="1" xfId="0" applyFont="1" applyBorder="1" applyAlignment="1">
      <alignment vertical="center" wrapText="1" readingOrder="2"/>
    </xf>
    <xf numFmtId="0" fontId="16" fillId="0" borderId="7" xfId="0" applyFont="1" applyBorder="1" applyAlignment="1">
      <alignment vertical="center" wrapText="1" readingOrder="2"/>
    </xf>
    <xf numFmtId="0" fontId="0" fillId="0" borderId="0" xfId="0"/>
    <xf numFmtId="167" fontId="1" fillId="0" borderId="5" xfId="1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vertical="center" wrapText="1"/>
    </xf>
    <xf numFmtId="0" fontId="4" fillId="0" borderId="0" xfId="0" applyFont="1" applyBorder="1" applyAlignment="1"/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0" fillId="0" borderId="0" xfId="0"/>
    <xf numFmtId="0" fontId="5" fillId="0" borderId="6" xfId="0" applyFont="1" applyFill="1" applyBorder="1" applyAlignment="1">
      <alignment vertical="center" wrapText="1" readingOrder="2"/>
    </xf>
    <xf numFmtId="0" fontId="5" fillId="0" borderId="0" xfId="0" applyFont="1" applyFill="1" applyAlignment="1">
      <alignment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vertical="center" wrapText="1"/>
    </xf>
    <xf numFmtId="0" fontId="0" fillId="0" borderId="6" xfId="0" applyBorder="1"/>
    <xf numFmtId="0" fontId="5" fillId="0" borderId="0" xfId="0" applyFont="1" applyBorder="1" applyAlignment="1">
      <alignment vertical="center" wrapText="1"/>
    </xf>
    <xf numFmtId="0" fontId="0" fillId="0" borderId="0" xfId="0"/>
    <xf numFmtId="0" fontId="0" fillId="0" borderId="0" xfId="0"/>
    <xf numFmtId="0" fontId="0" fillId="2" borderId="0" xfId="0" applyFill="1"/>
    <xf numFmtId="0" fontId="12" fillId="2" borderId="0" xfId="0" applyFont="1" applyFill="1"/>
    <xf numFmtId="0" fontId="3" fillId="0" borderId="7" xfId="0" applyFont="1" applyBorder="1" applyAlignment="1">
      <alignment horizontal="right" vertical="center" wrapText="1"/>
    </xf>
    <xf numFmtId="0" fontId="0" fillId="4" borderId="0" xfId="0" applyFill="1"/>
    <xf numFmtId="0" fontId="4" fillId="4" borderId="0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right" vertical="center" wrapText="1"/>
    </xf>
    <xf numFmtId="0" fontId="3" fillId="5" borderId="11" xfId="0" applyFont="1" applyFill="1" applyBorder="1" applyAlignment="1">
      <alignment horizontal="right" vertical="center" wrapText="1"/>
    </xf>
    <xf numFmtId="167" fontId="1" fillId="5" borderId="11" xfId="1" applyNumberFormat="1" applyFont="1" applyFill="1" applyBorder="1" applyAlignment="1">
      <alignment horizontal="right" vertical="center" wrapText="1"/>
    </xf>
    <xf numFmtId="167" fontId="1" fillId="5" borderId="6" xfId="1" applyNumberFormat="1" applyFont="1" applyFill="1" applyBorder="1" applyAlignment="1">
      <alignment horizontal="center" vertical="center" wrapText="1"/>
    </xf>
    <xf numFmtId="167" fontId="1" fillId="5" borderId="11" xfId="1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right" vertical="center" wrapText="1"/>
    </xf>
    <xf numFmtId="0" fontId="0" fillId="0" borderId="2" xfId="0" applyBorder="1"/>
    <xf numFmtId="0" fontId="3" fillId="0" borderId="7" xfId="0" applyFont="1" applyFill="1" applyBorder="1" applyAlignment="1">
      <alignment horizontal="right" vertical="center" wrapText="1"/>
    </xf>
    <xf numFmtId="167" fontId="1" fillId="0" borderId="11" xfId="1" applyNumberFormat="1" applyFont="1" applyFill="1" applyBorder="1" applyAlignment="1">
      <alignment horizontal="right" vertical="center" wrapText="1"/>
    </xf>
    <xf numFmtId="167" fontId="1" fillId="0" borderId="11" xfId="1" applyNumberFormat="1" applyFont="1" applyFill="1" applyBorder="1" applyAlignment="1">
      <alignment horizontal="center" vertical="center" wrapText="1"/>
    </xf>
    <xf numFmtId="3" fontId="4" fillId="0" borderId="0" xfId="0" applyNumberFormat="1" applyFont="1" applyBorder="1" applyAlignment="1">
      <alignment vertical="center" wrapText="1"/>
    </xf>
    <xf numFmtId="0" fontId="1" fillId="0" borderId="5" xfId="1" applyNumberFormat="1" applyFont="1" applyFill="1" applyBorder="1" applyAlignment="1">
      <alignment vertical="center" wrapText="1"/>
    </xf>
    <xf numFmtId="0" fontId="1" fillId="0" borderId="0" xfId="1" applyNumberFormat="1" applyFont="1" applyFill="1" applyBorder="1" applyAlignment="1">
      <alignment vertical="center" wrapText="1"/>
    </xf>
    <xf numFmtId="0" fontId="1" fillId="0" borderId="11" xfId="1" applyNumberFormat="1" applyFont="1" applyFill="1" applyBorder="1" applyAlignment="1">
      <alignment horizontal="left" vertical="center" wrapText="1"/>
    </xf>
    <xf numFmtId="167" fontId="1" fillId="2" borderId="5" xfId="1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168" fontId="1" fillId="2" borderId="1" xfId="0" applyNumberFormat="1" applyFont="1" applyFill="1" applyBorder="1" applyAlignment="1">
      <alignment vertical="center" wrapText="1"/>
    </xf>
    <xf numFmtId="168" fontId="1" fillId="0" borderId="1" xfId="1" applyNumberFormat="1" applyFont="1" applyFill="1" applyBorder="1" applyAlignment="1">
      <alignment vertical="center" wrapText="1"/>
    </xf>
    <xf numFmtId="168" fontId="1" fillId="2" borderId="7" xfId="0" applyNumberFormat="1" applyFont="1" applyFill="1" applyBorder="1" applyAlignment="1">
      <alignment vertical="center" wrapText="1"/>
    </xf>
    <xf numFmtId="168" fontId="1" fillId="0" borderId="7" xfId="1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0" fillId="6" borderId="0" xfId="0" applyFill="1"/>
    <xf numFmtId="167" fontId="0" fillId="6" borderId="0" xfId="0" applyNumberFormat="1" applyFill="1"/>
    <xf numFmtId="167" fontId="0" fillId="0" borderId="0" xfId="0" applyNumberFormat="1"/>
    <xf numFmtId="167" fontId="0" fillId="3" borderId="0" xfId="0" applyNumberFormat="1" applyFill="1"/>
    <xf numFmtId="0" fontId="16" fillId="0" borderId="7" xfId="0" applyFont="1" applyFill="1" applyBorder="1" applyAlignment="1">
      <alignment vertical="center" wrapText="1" readingOrder="2"/>
    </xf>
    <xf numFmtId="0" fontId="16" fillId="0" borderId="1" xfId="0" applyFont="1" applyFill="1" applyBorder="1" applyAlignment="1">
      <alignment vertical="center" wrapText="1" readingOrder="2"/>
    </xf>
    <xf numFmtId="3" fontId="17" fillId="0" borderId="1" xfId="1" applyNumberFormat="1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 readingOrder="2"/>
    </xf>
    <xf numFmtId="0" fontId="18" fillId="0" borderId="7" xfId="0" applyFont="1" applyFill="1" applyBorder="1" applyAlignment="1">
      <alignment vertical="center" wrapText="1" readingOrder="2"/>
    </xf>
    <xf numFmtId="3" fontId="1" fillId="0" borderId="1" xfId="1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20" fillId="4" borderId="9" xfId="0" applyFont="1" applyFill="1" applyBorder="1" applyAlignment="1">
      <alignment vertical="center" wrapText="1"/>
    </xf>
    <xf numFmtId="0" fontId="20" fillId="4" borderId="9" xfId="0" applyFont="1" applyFill="1" applyBorder="1" applyAlignment="1">
      <alignment horizontal="right" vertical="center" wrapText="1"/>
    </xf>
    <xf numFmtId="0" fontId="1" fillId="2" borderId="5" xfId="1" applyNumberFormat="1" applyFont="1" applyFill="1" applyBorder="1" applyAlignment="1">
      <alignment horizontal="right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right" vertical="center" wrapText="1"/>
    </xf>
    <xf numFmtId="0" fontId="3" fillId="5" borderId="6" xfId="0" applyFont="1" applyFill="1" applyBorder="1" applyAlignment="1">
      <alignment horizontal="right" vertical="center" wrapText="1"/>
    </xf>
    <xf numFmtId="0" fontId="1" fillId="5" borderId="11" xfId="1" applyNumberFormat="1" applyFont="1" applyFill="1" applyBorder="1" applyAlignment="1">
      <alignment horizontal="left" vertical="center" wrapText="1"/>
    </xf>
    <xf numFmtId="167" fontId="13" fillId="5" borderId="0" xfId="0" applyNumberFormat="1" applyFont="1" applyFill="1"/>
    <xf numFmtId="167" fontId="1" fillId="5" borderId="11" xfId="1" applyNumberFormat="1" applyFont="1" applyFill="1" applyBorder="1" applyAlignment="1">
      <alignment horizontal="right" vertical="center" wrapText="1" readingOrder="1"/>
    </xf>
    <xf numFmtId="167" fontId="1" fillId="5" borderId="11" xfId="1" applyNumberFormat="1" applyFont="1" applyFill="1" applyBorder="1" applyAlignment="1">
      <alignment vertical="center" wrapText="1" readingOrder="1"/>
    </xf>
    <xf numFmtId="0" fontId="20" fillId="4" borderId="9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3" fontId="1" fillId="0" borderId="7" xfId="1" applyNumberFormat="1" applyFont="1" applyFill="1" applyBorder="1" applyAlignment="1">
      <alignment vertical="center" wrapText="1"/>
    </xf>
    <xf numFmtId="168" fontId="1" fillId="2" borderId="5" xfId="0" applyNumberFormat="1" applyFont="1" applyFill="1" applyBorder="1" applyAlignment="1">
      <alignment vertical="center" wrapText="1"/>
    </xf>
    <xf numFmtId="168" fontId="1" fillId="5" borderId="11" xfId="0" applyNumberFormat="1" applyFont="1" applyFill="1" applyBorder="1" applyAlignment="1">
      <alignment vertical="center" wrapText="1"/>
    </xf>
    <xf numFmtId="167" fontId="1" fillId="0" borderId="7" xfId="1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right" vertical="center" readingOrder="1"/>
    </xf>
    <xf numFmtId="0" fontId="4" fillId="0" borderId="8" xfId="0" applyFont="1" applyBorder="1" applyAlignment="1">
      <alignment horizontal="right" vertical="center" wrapText="1"/>
    </xf>
    <xf numFmtId="0" fontId="3" fillId="5" borderId="11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 readingOrder="2"/>
    </xf>
    <xf numFmtId="0" fontId="4" fillId="0" borderId="0" xfId="0" applyFont="1" applyBorder="1" applyAlignment="1">
      <alignment horizontal="right" vertical="center" wrapText="1"/>
    </xf>
    <xf numFmtId="3" fontId="1" fillId="5" borderId="11" xfId="0" applyNumberFormat="1" applyFont="1" applyFill="1" applyBorder="1" applyAlignment="1">
      <alignment vertical="center" wrapText="1"/>
    </xf>
    <xf numFmtId="3" fontId="1" fillId="0" borderId="5" xfId="0" applyNumberFormat="1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vertical="center" wrapText="1"/>
    </xf>
    <xf numFmtId="3" fontId="1" fillId="0" borderId="5" xfId="0" applyNumberFormat="1" applyFont="1" applyFill="1" applyBorder="1" applyAlignment="1">
      <alignment vertical="center" wrapText="1"/>
    </xf>
    <xf numFmtId="168" fontId="1" fillId="2" borderId="0" xfId="0" applyNumberFormat="1" applyFont="1" applyFill="1" applyBorder="1" applyAlignment="1">
      <alignment vertical="center" wrapText="1"/>
    </xf>
    <xf numFmtId="0" fontId="3" fillId="5" borderId="11" xfId="0" applyFont="1" applyFill="1" applyBorder="1" applyAlignment="1">
      <alignment horizontal="right" vertical="center" wrapText="1"/>
    </xf>
    <xf numFmtId="0" fontId="0" fillId="0" borderId="0" xfId="0" applyBorder="1" applyAlignment="1">
      <alignment horizontal="right" vertical="center" readingOrder="1"/>
    </xf>
    <xf numFmtId="0" fontId="18" fillId="0" borderId="11" xfId="0" applyFont="1" applyFill="1" applyBorder="1" applyAlignment="1">
      <alignment vertical="center" wrapText="1" readingOrder="2"/>
    </xf>
    <xf numFmtId="0" fontId="4" fillId="0" borderId="0" xfId="0" applyFont="1" applyBorder="1" applyAlignment="1">
      <alignment horizontal="right" vertical="center" wrapText="1"/>
    </xf>
    <xf numFmtId="0" fontId="4" fillId="4" borderId="10" xfId="0" applyFont="1" applyFill="1" applyBorder="1" applyAlignment="1">
      <alignment vertical="center" wrapText="1"/>
    </xf>
    <xf numFmtId="167" fontId="25" fillId="5" borderId="3" xfId="1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readingOrder="2"/>
    </xf>
    <xf numFmtId="0" fontId="4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readingOrder="2"/>
    </xf>
    <xf numFmtId="0" fontId="20" fillId="4" borderId="9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 readingOrder="2"/>
    </xf>
    <xf numFmtId="0" fontId="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 readingOrder="2"/>
    </xf>
    <xf numFmtId="0" fontId="5" fillId="0" borderId="6" xfId="0" applyFont="1" applyFill="1" applyBorder="1" applyAlignment="1">
      <alignment horizontal="center" vertical="center" wrapText="1"/>
    </xf>
    <xf numFmtId="167" fontId="1" fillId="0" borderId="1" xfId="1" applyNumberFormat="1" applyFont="1" applyFill="1" applyBorder="1" applyAlignment="1">
      <alignment horizontal="right" vertical="center" wrapText="1"/>
    </xf>
    <xf numFmtId="167" fontId="1" fillId="0" borderId="8" xfId="1" applyNumberFormat="1" applyFont="1" applyFill="1" applyBorder="1" applyAlignment="1">
      <alignment horizontal="right" vertical="center" wrapText="1"/>
    </xf>
    <xf numFmtId="0" fontId="23" fillId="0" borderId="8" xfId="0" applyFont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169" fontId="1" fillId="0" borderId="8" xfId="1" applyNumberFormat="1" applyFont="1" applyFill="1" applyBorder="1" applyAlignment="1">
      <alignment horizontal="right" vertical="center" wrapText="1"/>
    </xf>
    <xf numFmtId="169" fontId="1" fillId="0" borderId="0" xfId="1" applyNumberFormat="1" applyFont="1" applyFill="1" applyBorder="1" applyAlignment="1">
      <alignment horizontal="right" vertical="center" wrapText="1"/>
    </xf>
    <xf numFmtId="169" fontId="1" fillId="0" borderId="1" xfId="1" applyNumberFormat="1" applyFont="1" applyFill="1" applyBorder="1" applyAlignment="1">
      <alignment horizontal="right" vertical="center" wrapText="1"/>
    </xf>
    <xf numFmtId="167" fontId="1" fillId="0" borderId="1" xfId="1" applyNumberFormat="1" applyFont="1" applyFill="1" applyBorder="1" applyAlignment="1">
      <alignment horizontal="right" vertical="center" wrapText="1"/>
    </xf>
    <xf numFmtId="167" fontId="1" fillId="0" borderId="7" xfId="1" applyNumberFormat="1" applyFont="1" applyFill="1" applyBorder="1" applyAlignment="1">
      <alignment horizontal="right" vertical="center" wrapText="1"/>
    </xf>
    <xf numFmtId="3" fontId="17" fillId="0" borderId="7" xfId="1" applyNumberFormat="1" applyFont="1" applyFill="1" applyBorder="1" applyAlignment="1">
      <alignment vertical="center" wrapText="1"/>
    </xf>
    <xf numFmtId="3" fontId="17" fillId="0" borderId="5" xfId="1" applyNumberFormat="1" applyFont="1" applyFill="1" applyBorder="1" applyAlignment="1">
      <alignment vertical="center" wrapText="1"/>
    </xf>
    <xf numFmtId="0" fontId="0" fillId="0" borderId="0" xfId="0" applyFill="1"/>
    <xf numFmtId="3" fontId="1" fillId="5" borderId="5" xfId="0" applyNumberFormat="1" applyFont="1" applyFill="1" applyBorder="1" applyAlignment="1">
      <alignment vertical="center" wrapText="1"/>
    </xf>
    <xf numFmtId="1" fontId="1" fillId="5" borderId="5" xfId="0" applyNumberFormat="1" applyFont="1" applyFill="1" applyBorder="1" applyAlignment="1">
      <alignment horizontal="left" vertical="center" wrapText="1"/>
    </xf>
    <xf numFmtId="3" fontId="1" fillId="5" borderId="5" xfId="0" applyNumberFormat="1" applyFont="1" applyFill="1" applyBorder="1" applyAlignment="1">
      <alignment horizontal="left" vertical="center" wrapText="1"/>
    </xf>
    <xf numFmtId="0" fontId="20" fillId="4" borderId="9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3" fillId="5" borderId="11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 readingOrder="2"/>
    </xf>
    <xf numFmtId="0" fontId="20" fillId="4" borderId="9" xfId="0" applyFont="1" applyFill="1" applyBorder="1" applyAlignment="1">
      <alignment vertical="center" wrapText="1"/>
    </xf>
    <xf numFmtId="0" fontId="20" fillId="4" borderId="9" xfId="0" applyFont="1" applyFill="1" applyBorder="1" applyAlignment="1">
      <alignment vertical="center" wrapText="1"/>
    </xf>
    <xf numFmtId="0" fontId="0" fillId="0" borderId="0" xfId="0" applyBorder="1" applyAlignment="1">
      <alignment horizontal="right" vertical="center" readingOrder="1"/>
    </xf>
    <xf numFmtId="168" fontId="1" fillId="5" borderId="11" xfId="1" applyNumberFormat="1" applyFont="1" applyFill="1" applyBorder="1" applyAlignment="1">
      <alignment vertical="center" wrapText="1"/>
    </xf>
    <xf numFmtId="168" fontId="1" fillId="0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vertical="center" readingOrder="2"/>
    </xf>
    <xf numFmtId="168" fontId="1" fillId="0" borderId="5" xfId="0" applyNumberFormat="1" applyFont="1" applyFill="1" applyBorder="1" applyAlignment="1">
      <alignment vertical="center" wrapText="1"/>
    </xf>
    <xf numFmtId="167" fontId="4" fillId="0" borderId="0" xfId="0" applyNumberFormat="1" applyFont="1" applyBorder="1" applyAlignment="1">
      <alignment horizontal="right" vertical="center" readingOrder="2"/>
    </xf>
    <xf numFmtId="3" fontId="1" fillId="0" borderId="5" xfId="1" applyNumberFormat="1" applyFont="1" applyFill="1" applyBorder="1" applyAlignment="1">
      <alignment vertical="center" wrapText="1"/>
    </xf>
    <xf numFmtId="0" fontId="20" fillId="4" borderId="9" xfId="0" applyFont="1" applyFill="1" applyBorder="1" applyAlignment="1">
      <alignment vertical="center" wrapText="1"/>
    </xf>
    <xf numFmtId="3" fontId="1" fillId="2" borderId="7" xfId="1" applyNumberFormat="1" applyFont="1" applyFill="1" applyBorder="1" applyAlignment="1">
      <alignment vertical="center" wrapText="1"/>
    </xf>
    <xf numFmtId="3" fontId="17" fillId="0" borderId="11" xfId="1" applyNumberFormat="1" applyFont="1" applyFill="1" applyBorder="1" applyAlignment="1">
      <alignment vertical="center" wrapText="1"/>
    </xf>
    <xf numFmtId="3" fontId="1" fillId="0" borderId="11" xfId="1" applyNumberFormat="1" applyFont="1" applyFill="1" applyBorder="1" applyAlignment="1">
      <alignment vertical="center" wrapText="1"/>
    </xf>
    <xf numFmtId="3" fontId="1" fillId="5" borderId="11" xfId="1" applyNumberFormat="1" applyFont="1" applyFill="1" applyBorder="1" applyAlignment="1">
      <alignment vertical="center" wrapText="1"/>
    </xf>
    <xf numFmtId="3" fontId="29" fillId="5" borderId="6" xfId="1" applyNumberFormat="1" applyFont="1" applyFill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164" fontId="0" fillId="3" borderId="0" xfId="0" applyNumberFormat="1" applyFill="1"/>
    <xf numFmtId="164" fontId="0" fillId="0" borderId="0" xfId="0" applyNumberFormat="1" applyFill="1"/>
    <xf numFmtId="0" fontId="20" fillId="4" borderId="9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readingOrder="2"/>
    </xf>
    <xf numFmtId="0" fontId="4" fillId="0" borderId="0" xfId="0" applyFont="1" applyFill="1" applyBorder="1" applyAlignment="1">
      <alignment horizontal="right" vertical="center" wrapText="1" readingOrder="2"/>
    </xf>
    <xf numFmtId="0" fontId="20" fillId="4" borderId="9" xfId="0" applyFont="1" applyFill="1" applyBorder="1" applyAlignment="1">
      <alignment vertical="center" wrapText="1"/>
    </xf>
    <xf numFmtId="167" fontId="1" fillId="0" borderId="1" xfId="1" applyNumberFormat="1" applyFont="1" applyFill="1" applyBorder="1" applyAlignment="1">
      <alignment horizontal="left" vertical="center" wrapText="1"/>
    </xf>
    <xf numFmtId="167" fontId="1" fillId="0" borderId="5" xfId="1" applyNumberFormat="1" applyFont="1" applyFill="1" applyBorder="1" applyAlignment="1">
      <alignment horizontal="left" vertical="center" wrapText="1"/>
    </xf>
    <xf numFmtId="167" fontId="1" fillId="0" borderId="4" xfId="1" applyNumberFormat="1" applyFont="1" applyFill="1" applyBorder="1" applyAlignment="1">
      <alignment horizontal="left" vertical="center" wrapText="1"/>
    </xf>
    <xf numFmtId="0" fontId="1" fillId="0" borderId="5" xfId="1" applyNumberFormat="1" applyFont="1" applyFill="1" applyBorder="1" applyAlignment="1">
      <alignment horizontal="left" vertical="center" wrapText="1"/>
    </xf>
    <xf numFmtId="0" fontId="1" fillId="0" borderId="0" xfId="1" applyNumberFormat="1" applyFont="1" applyFill="1" applyBorder="1" applyAlignment="1">
      <alignment horizontal="left" vertical="center" wrapText="1"/>
    </xf>
    <xf numFmtId="167" fontId="1" fillId="0" borderId="11" xfId="1" applyNumberFormat="1" applyFont="1" applyFill="1" applyBorder="1" applyAlignment="1">
      <alignment horizontal="left" vertical="center" wrapText="1"/>
    </xf>
    <xf numFmtId="3" fontId="1" fillId="0" borderId="5" xfId="1" applyNumberFormat="1" applyFont="1" applyFill="1" applyBorder="1" applyAlignment="1">
      <alignment horizontal="left" vertical="center" wrapText="1"/>
    </xf>
    <xf numFmtId="167" fontId="1" fillId="5" borderId="11" xfId="1" applyNumberFormat="1" applyFont="1" applyFill="1" applyBorder="1" applyAlignment="1">
      <alignment horizontal="left" vertical="center" wrapText="1"/>
    </xf>
    <xf numFmtId="167" fontId="1" fillId="0" borderId="7" xfId="1" applyNumberFormat="1" applyFont="1" applyFill="1" applyBorder="1" applyAlignment="1">
      <alignment horizontal="left" vertical="center" wrapText="1"/>
    </xf>
    <xf numFmtId="167" fontId="1" fillId="5" borderId="6" xfId="1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right" vertical="center" wrapText="1"/>
    </xf>
    <xf numFmtId="3" fontId="1" fillId="2" borderId="0" xfId="1" applyNumberFormat="1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right" vertical="center" wrapText="1" readingOrder="2"/>
    </xf>
    <xf numFmtId="167" fontId="1" fillId="0" borderId="0" xfId="1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23" fillId="0" borderId="13" xfId="0" applyFont="1" applyFill="1" applyBorder="1" applyAlignment="1">
      <alignment vertical="center" wrapText="1"/>
    </xf>
    <xf numFmtId="167" fontId="1" fillId="0" borderId="13" xfId="1" applyNumberFormat="1" applyFont="1" applyFill="1" applyBorder="1" applyAlignment="1">
      <alignment horizontal="right" vertical="center" wrapText="1"/>
    </xf>
    <xf numFmtId="169" fontId="1" fillId="0" borderId="13" xfId="1" applyNumberFormat="1" applyFont="1" applyFill="1" applyBorder="1" applyAlignment="1">
      <alignment horizontal="right" vertical="center" wrapText="1"/>
    </xf>
    <xf numFmtId="0" fontId="23" fillId="0" borderId="0" xfId="0" applyFont="1" applyFill="1" applyBorder="1" applyAlignment="1">
      <alignment vertical="center" wrapText="1"/>
    </xf>
    <xf numFmtId="0" fontId="26" fillId="0" borderId="6" xfId="0" applyFont="1" applyBorder="1" applyAlignment="1">
      <alignment horizontal="right" wrapText="1"/>
    </xf>
    <xf numFmtId="168" fontId="1" fillId="2" borderId="5" xfId="0" applyNumberFormat="1" applyFont="1" applyFill="1" applyBorder="1" applyAlignment="1">
      <alignment horizontal="left" vertical="center" wrapText="1"/>
    </xf>
    <xf numFmtId="168" fontId="1" fillId="2" borderId="1" xfId="0" applyNumberFormat="1" applyFont="1" applyFill="1" applyBorder="1" applyAlignment="1">
      <alignment horizontal="left" vertical="center" wrapText="1"/>
    </xf>
    <xf numFmtId="168" fontId="1" fillId="2" borderId="7" xfId="0" applyNumberFormat="1" applyFont="1" applyFill="1" applyBorder="1" applyAlignment="1">
      <alignment horizontal="left" vertical="center" wrapText="1"/>
    </xf>
    <xf numFmtId="168" fontId="1" fillId="5" borderId="11" xfId="0" applyNumberFormat="1" applyFont="1" applyFill="1" applyBorder="1" applyAlignment="1">
      <alignment horizontal="left" vertical="center" wrapText="1"/>
    </xf>
    <xf numFmtId="0" fontId="19" fillId="0" borderId="6" xfId="0" applyFont="1" applyBorder="1" applyAlignment="1"/>
    <xf numFmtId="0" fontId="3" fillId="0" borderId="6" xfId="0" applyFont="1" applyBorder="1" applyAlignment="1">
      <alignment horizontal="right"/>
    </xf>
    <xf numFmtId="0" fontId="3" fillId="2" borderId="2" xfId="0" applyFont="1" applyFill="1" applyBorder="1" applyAlignment="1">
      <alignment horizontal="right" vertical="center" wrapText="1"/>
    </xf>
    <xf numFmtId="167" fontId="1" fillId="2" borderId="2" xfId="1" applyNumberFormat="1" applyFont="1" applyFill="1" applyBorder="1" applyAlignment="1">
      <alignment horizontal="right" vertical="center" wrapText="1" readingOrder="1"/>
    </xf>
    <xf numFmtId="167" fontId="1" fillId="2" borderId="2" xfId="1" applyNumberFormat="1" applyFont="1" applyFill="1" applyBorder="1" applyAlignment="1">
      <alignment vertical="center" wrapText="1" readingOrder="1"/>
    </xf>
    <xf numFmtId="3" fontId="1" fillId="2" borderId="2" xfId="0" applyNumberFormat="1" applyFont="1" applyFill="1" applyBorder="1" applyAlignment="1">
      <alignment vertical="center" wrapText="1"/>
    </xf>
    <xf numFmtId="0" fontId="19" fillId="0" borderId="6" xfId="0" applyFont="1" applyBorder="1" applyAlignment="1">
      <alignment horizontal="right"/>
    </xf>
    <xf numFmtId="167" fontId="1" fillId="0" borderId="1" xfId="1" applyNumberFormat="1" applyFont="1" applyFill="1" applyBorder="1" applyAlignment="1">
      <alignment horizontal="right" vertical="center" wrapText="1"/>
    </xf>
    <xf numFmtId="0" fontId="20" fillId="4" borderId="9" xfId="0" applyFont="1" applyFill="1" applyBorder="1" applyAlignment="1">
      <alignment horizontal="right" vertical="center" wrapText="1"/>
    </xf>
    <xf numFmtId="0" fontId="14" fillId="0" borderId="8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1" fillId="0" borderId="7" xfId="0" applyNumberFormat="1" applyFont="1" applyBorder="1" applyAlignment="1">
      <alignment horizontal="left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164" fontId="1" fillId="5" borderId="11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3" fillId="5" borderId="11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 readingOrder="2"/>
    </xf>
    <xf numFmtId="0" fontId="4" fillId="0" borderId="0" xfId="0" applyFont="1" applyBorder="1" applyAlignment="1">
      <alignment horizontal="right" vertical="center" readingOrder="2"/>
    </xf>
    <xf numFmtId="0" fontId="20" fillId="4" borderId="2" xfId="0" applyFont="1" applyFill="1" applyBorder="1" applyAlignment="1">
      <alignment horizontal="right" vertical="center" wrapText="1"/>
    </xf>
    <xf numFmtId="0" fontId="20" fillId="4" borderId="10" xfId="0" applyFont="1" applyFill="1" applyBorder="1" applyAlignment="1">
      <alignment horizontal="right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right" vertical="center" wrapText="1" readingOrder="2"/>
    </xf>
    <xf numFmtId="0" fontId="20" fillId="4" borderId="10" xfId="0" applyFont="1" applyFill="1" applyBorder="1" applyAlignment="1">
      <alignment horizontal="right" vertical="center" wrapText="1" readingOrder="2"/>
    </xf>
    <xf numFmtId="0" fontId="4" fillId="0" borderId="0" xfId="0" applyFont="1" applyBorder="1" applyAlignment="1">
      <alignment horizontal="right" vertical="center" wrapText="1" readingOrder="2"/>
    </xf>
    <xf numFmtId="0" fontId="14" fillId="0" borderId="8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right" vertical="center" wrapText="1"/>
    </xf>
    <xf numFmtId="0" fontId="4" fillId="5" borderId="7" xfId="0" applyFont="1" applyFill="1" applyBorder="1" applyAlignment="1">
      <alignment horizontal="center" vertical="center" wrapText="1"/>
    </xf>
    <xf numFmtId="166" fontId="21" fillId="4" borderId="2" xfId="0" applyNumberFormat="1" applyFont="1" applyFill="1" applyBorder="1" applyAlignment="1">
      <alignment horizontal="right" vertical="center" wrapText="1"/>
    </xf>
    <xf numFmtId="166" fontId="21" fillId="4" borderId="0" xfId="0" applyNumberFormat="1" applyFont="1" applyFill="1" applyBorder="1" applyAlignment="1">
      <alignment horizontal="right" vertical="center" wrapText="1"/>
    </xf>
    <xf numFmtId="166" fontId="21" fillId="4" borderId="10" xfId="0" applyNumberFormat="1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right" vertical="center" wrapText="1"/>
    </xf>
    <xf numFmtId="0" fontId="4" fillId="5" borderId="1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 readingOrder="2"/>
    </xf>
    <xf numFmtId="166" fontId="20" fillId="4" borderId="2" xfId="0" applyNumberFormat="1" applyFont="1" applyFill="1" applyBorder="1" applyAlignment="1">
      <alignment horizontal="right" vertical="center" wrapText="1"/>
    </xf>
    <xf numFmtId="166" fontId="20" fillId="4" borderId="0" xfId="0" applyNumberFormat="1" applyFont="1" applyFill="1" applyBorder="1" applyAlignment="1">
      <alignment horizontal="right" vertical="center" wrapText="1"/>
    </xf>
    <xf numFmtId="166" fontId="20" fillId="4" borderId="10" xfId="0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vertical="center" wrapText="1"/>
    </xf>
    <xf numFmtId="0" fontId="22" fillId="4" borderId="10" xfId="0" applyFont="1" applyFill="1" applyBorder="1"/>
    <xf numFmtId="0" fontId="19" fillId="0" borderId="6" xfId="0" applyFont="1" applyBorder="1" applyAlignment="1">
      <alignment horizontal="center"/>
    </xf>
    <xf numFmtId="167" fontId="1" fillId="2" borderId="1" xfId="1" applyNumberFormat="1" applyFont="1" applyFill="1" applyBorder="1" applyAlignment="1">
      <alignment horizontal="right" vertical="center" wrapText="1"/>
    </xf>
    <xf numFmtId="167" fontId="1" fillId="0" borderId="1" xfId="1" applyNumberFormat="1" applyFont="1" applyFill="1" applyBorder="1" applyAlignment="1">
      <alignment horizontal="right" vertical="center" wrapText="1"/>
    </xf>
    <xf numFmtId="167" fontId="1" fillId="0" borderId="7" xfId="1" applyNumberFormat="1" applyFont="1" applyFill="1" applyBorder="1" applyAlignment="1">
      <alignment horizontal="right" vertical="center" wrapText="1"/>
    </xf>
    <xf numFmtId="167" fontId="1" fillId="2" borderId="7" xfId="1" applyNumberFormat="1" applyFont="1" applyFill="1" applyBorder="1" applyAlignment="1">
      <alignment horizontal="center" vertical="center" wrapText="1"/>
    </xf>
    <xf numFmtId="167" fontId="1" fillId="2" borderId="5" xfId="1" applyNumberFormat="1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vertical="center" wrapText="1"/>
    </xf>
    <xf numFmtId="167" fontId="1" fillId="2" borderId="4" xfId="1" applyNumberFormat="1" applyFont="1" applyFill="1" applyBorder="1" applyAlignment="1">
      <alignment horizontal="right" vertical="center" wrapText="1"/>
    </xf>
    <xf numFmtId="165" fontId="3" fillId="2" borderId="8" xfId="0" applyNumberFormat="1" applyFont="1" applyFill="1" applyBorder="1" applyAlignment="1">
      <alignment horizontal="right" vertical="center" wrapText="1"/>
    </xf>
    <xf numFmtId="165" fontId="3" fillId="2" borderId="1" xfId="0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165" fontId="3" fillId="2" borderId="7" xfId="0" applyNumberFormat="1" applyFont="1" applyFill="1" applyBorder="1" applyAlignment="1">
      <alignment horizontal="right" vertical="center" wrapText="1"/>
    </xf>
    <xf numFmtId="165" fontId="3" fillId="2" borderId="5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7434"/>
      <color rgb="FFE2ECD0"/>
      <color rgb="FFDEE9C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SA"/>
  <c:chart>
    <c:title>
      <c:tx>
        <c:rich>
          <a:bodyPr/>
          <a:lstStyle/>
          <a:p>
            <a:pPr>
              <a:defRPr lang="ar-IQ"/>
            </a:pPr>
            <a:r>
              <a:rPr lang="ar-SA" sz="1050" b="1" i="0" baseline="0">
                <a:effectLst/>
              </a:rPr>
              <a:t>شكل 15: </a:t>
            </a:r>
            <a:r>
              <a:rPr lang="ar-IQ" sz="1050" b="1" i="0" baseline="0">
                <a:effectLst/>
              </a:rPr>
              <a:t>كمية الأسمدة المجهّزة حسب المحافظة لسنة 2017 </a:t>
            </a:r>
            <a:endParaRPr lang="ar-IQ" sz="1050">
              <a:effectLst/>
            </a:endParaRPr>
          </a:p>
        </c:rich>
      </c:tx>
    </c:title>
    <c:view3D>
      <c:rAngAx val="1"/>
    </c:view3D>
    <c:plotArea>
      <c:layout>
        <c:manualLayout>
          <c:layoutTarget val="inner"/>
          <c:xMode val="edge"/>
          <c:yMode val="edge"/>
          <c:x val="0.13398840769903791"/>
          <c:y val="0.14897018081073282"/>
          <c:w val="0.82156714785651552"/>
          <c:h val="0.63034412365121062"/>
        </c:manualLayout>
      </c:layout>
      <c:bar3DChart>
        <c:barDir val="col"/>
        <c:grouping val="clustered"/>
        <c:ser>
          <c:idx val="0"/>
          <c:order val="0"/>
          <c:dLbls>
            <c:txPr>
              <a:bodyPr/>
              <a:lstStyle/>
              <a:p>
                <a:pPr>
                  <a:defRPr lang="ar-IQ" sz="900" b="1" i="0" baseline="0">
                    <a:latin typeface="Times New Roman" pitchFamily="18" charset="0"/>
                  </a:defRPr>
                </a:pPr>
                <a:endParaRPr lang="ar-SA"/>
              </a:p>
            </c:txPr>
            <c:showVal val="1"/>
          </c:dLbls>
          <c:cat>
            <c:strRef>
              <c:f>'5-3'!$H$4:$H$18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الأنبار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'5-3'!$I$4:$I$18</c:f>
              <c:numCache>
                <c:formatCode>0.0</c:formatCode>
                <c:ptCount val="15"/>
                <c:pt idx="0">
                  <c:v>34.835300000000004</c:v>
                </c:pt>
                <c:pt idx="1">
                  <c:v>25.4696</c:v>
                </c:pt>
                <c:pt idx="2">
                  <c:v>39.461500000000001</c:v>
                </c:pt>
                <c:pt idx="3">
                  <c:v>27.627399999999998</c:v>
                </c:pt>
                <c:pt idx="4">
                  <c:v>32.065199999999997</c:v>
                </c:pt>
                <c:pt idx="5">
                  <c:v>32.9771</c:v>
                </c:pt>
                <c:pt idx="6">
                  <c:v>7.2046000000000001</c:v>
                </c:pt>
                <c:pt idx="7">
                  <c:v>86.512298999999999</c:v>
                </c:pt>
                <c:pt idx="8">
                  <c:v>27.232699999999998</c:v>
                </c:pt>
                <c:pt idx="9">
                  <c:v>32.2363</c:v>
                </c:pt>
                <c:pt idx="10">
                  <c:v>55.331100000000006</c:v>
                </c:pt>
                <c:pt idx="11">
                  <c:v>15.929600000000001</c:v>
                </c:pt>
                <c:pt idx="12">
                  <c:v>23.200100000000003</c:v>
                </c:pt>
                <c:pt idx="13">
                  <c:v>37.0366</c:v>
                </c:pt>
                <c:pt idx="14">
                  <c:v>2.8230999999999997</c:v>
                </c:pt>
              </c:numCache>
            </c:numRef>
          </c:val>
        </c:ser>
        <c:shape val="box"/>
        <c:axId val="77048064"/>
        <c:axId val="77053952"/>
        <c:axId val="0"/>
      </c:bar3DChart>
      <c:catAx>
        <c:axId val="77048064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lang="ar-IQ" b="1"/>
            </a:pPr>
            <a:endParaRPr lang="ar-SA"/>
          </a:p>
        </c:txPr>
        <c:crossAx val="77053952"/>
        <c:crosses val="autoZero"/>
        <c:auto val="1"/>
        <c:lblAlgn val="ctr"/>
        <c:lblOffset val="100"/>
      </c:catAx>
      <c:valAx>
        <c:axId val="77053952"/>
        <c:scaling>
          <c:orientation val="minMax"/>
        </c:scaling>
        <c:axPos val="l"/>
        <c:majorGridlines/>
        <c:numFmt formatCode="0.0" sourceLinked="1"/>
        <c:majorTickMark val="none"/>
        <c:tickLblPos val="nextTo"/>
        <c:txPr>
          <a:bodyPr/>
          <a:lstStyle/>
          <a:p>
            <a:pPr>
              <a:defRPr lang="ar-IQ" b="1"/>
            </a:pPr>
            <a:endParaRPr lang="ar-SA"/>
          </a:p>
        </c:txPr>
        <c:crossAx val="77048064"/>
        <c:crosses val="autoZero"/>
        <c:crossBetween val="between"/>
      </c:valAx>
    </c:plotArea>
    <c:plotVisOnly val="1"/>
    <c:dispBlanksAs val="gap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scene3d>
      <a:camera prst="orthographicFront"/>
      <a:lightRig rig="threePt" dir="t"/>
    </a:scene3d>
    <a:sp3d>
      <a:bevelT/>
      <a:bevelB/>
    </a:sp3d>
  </c:spPr>
  <c:printSettings>
    <c:headerFooter/>
    <c:pageMargins b="0.74803149606299413" l="0.70866141732283694" r="0.70866141732283694" t="0.74803149606299413" header="0.31496062992126173" footer="0.31496062992126173"/>
    <c:pageSetup paperSize="9"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SA"/>
  <c:chart>
    <c:title>
      <c:tx>
        <c:rich>
          <a:bodyPr/>
          <a:lstStyle/>
          <a:p>
            <a:pPr>
              <a:defRPr lang="ar-IQ"/>
            </a:pPr>
            <a:r>
              <a:rPr lang="ar-IQ" sz="1000" b="1" i="0" baseline="0">
                <a:effectLst/>
              </a:rPr>
              <a:t>شكل (16): مساحات المناطق الخطرة الملوثة بـ (أرض مواجهات، ذخائر عنقودية، عبوات ناسفة، ذخائر غير منفجرة) حسب الحالة لسنة 2017</a:t>
            </a:r>
            <a:endParaRPr lang="ar-IQ" sz="1000">
              <a:effectLst/>
            </a:endParaRPr>
          </a:p>
        </c:rich>
      </c:tx>
    </c:title>
    <c:view3D>
      <c:rAngAx val="1"/>
    </c:view3D>
    <c:plotArea>
      <c:layout>
        <c:manualLayout>
          <c:layoutTarget val="inner"/>
          <c:xMode val="edge"/>
          <c:yMode val="edge"/>
          <c:x val="0.14011109520400858"/>
          <c:y val="0.19954870224555263"/>
          <c:w val="0.83736845621570233"/>
          <c:h val="0.63449475065617045"/>
        </c:manualLayout>
      </c:layout>
      <c:bar3DChart>
        <c:barDir val="col"/>
        <c:grouping val="clustered"/>
        <c:ser>
          <c:idx val="0"/>
          <c:order val="0"/>
          <c:spPr>
            <a:solidFill>
              <a:schemeClr val="bg2">
                <a:lumMod val="50000"/>
              </a:schemeClr>
            </a:solidFill>
          </c:spPr>
          <c:dLbls>
            <c:dLbl>
              <c:idx val="2"/>
              <c:layout>
                <c:manualLayout>
                  <c:x val="9.6969696969697247E-3"/>
                  <c:y val="-4.1666666666666664E-2"/>
                </c:manualLayout>
              </c:layout>
              <c:showVal val="1"/>
            </c:dLbl>
            <c:txPr>
              <a:bodyPr/>
              <a:lstStyle/>
              <a:p>
                <a:pPr>
                  <a:defRPr lang="ar-IQ" sz="900" b="1">
                    <a:cs typeface="+mj-cs"/>
                  </a:defRPr>
                </a:pPr>
                <a:endParaRPr lang="ar-SA"/>
              </a:p>
            </c:txPr>
            <c:showVal val="1"/>
          </c:dLbls>
          <c:cat>
            <c:strRef>
              <c:f>'9-3'!$F$3:$H$3</c:f>
              <c:strCache>
                <c:ptCount val="3"/>
                <c:pt idx="0">
                  <c:v>مفتوح (لازال الخطر قائم)</c:v>
                </c:pt>
                <c:pt idx="1">
                  <c:v>مغلق (رفع الخطر منها)</c:v>
                </c:pt>
                <c:pt idx="2">
                  <c:v> جار العمل     </c:v>
                </c:pt>
              </c:strCache>
            </c:strRef>
          </c:cat>
          <c:val>
            <c:numRef>
              <c:f>'9-3'!$F$4:$H$4</c:f>
              <c:numCache>
                <c:formatCode>0.0</c:formatCode>
                <c:ptCount val="3"/>
                <c:pt idx="0">
                  <c:v>479.30839900000001</c:v>
                </c:pt>
                <c:pt idx="1">
                  <c:v>206.79487599999999</c:v>
                </c:pt>
                <c:pt idx="2">
                  <c:v>6.2545070000000003</c:v>
                </c:pt>
              </c:numCache>
            </c:numRef>
          </c:val>
        </c:ser>
        <c:shape val="pyramid"/>
        <c:axId val="78889344"/>
        <c:axId val="78890880"/>
        <c:axId val="0"/>
      </c:bar3DChart>
      <c:catAx>
        <c:axId val="78889344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lang="ar-IQ" b="1"/>
            </a:pPr>
            <a:endParaRPr lang="ar-SA"/>
          </a:p>
        </c:txPr>
        <c:crossAx val="78890880"/>
        <c:crosses val="autoZero"/>
        <c:auto val="1"/>
        <c:lblAlgn val="ctr"/>
        <c:lblOffset val="100"/>
      </c:catAx>
      <c:valAx>
        <c:axId val="78890880"/>
        <c:scaling>
          <c:orientation val="minMax"/>
        </c:scaling>
        <c:axPos val="l"/>
        <c:majorGridlines/>
        <c:numFmt formatCode="0.0" sourceLinked="1"/>
        <c:majorTickMark val="none"/>
        <c:tickLblPos val="nextTo"/>
        <c:txPr>
          <a:bodyPr/>
          <a:lstStyle/>
          <a:p>
            <a:pPr>
              <a:defRPr lang="ar-IQ" b="1"/>
            </a:pPr>
            <a:endParaRPr lang="ar-SA"/>
          </a:p>
        </c:txPr>
        <c:crossAx val="78889344"/>
        <c:crosses val="autoZero"/>
        <c:crossBetween val="between"/>
      </c:valAx>
    </c:plotArea>
    <c:plotVisOnly val="1"/>
    <c:dispBlanksAs val="gap"/>
  </c:chart>
  <c:spPr>
    <a:gradFill>
      <a:gsLst>
        <a:gs pos="0">
          <a:srgbClr val="E6DCAC"/>
        </a:gs>
        <a:gs pos="12000">
          <a:srgbClr val="E6D78A"/>
        </a:gs>
        <a:gs pos="30000">
          <a:srgbClr val="C7AC4C"/>
        </a:gs>
        <a:gs pos="45000">
          <a:srgbClr val="E6D78A"/>
        </a:gs>
        <a:gs pos="77000">
          <a:srgbClr val="C7AC4C"/>
        </a:gs>
        <a:gs pos="100000">
          <a:srgbClr val="E6DCAC"/>
        </a:gs>
      </a:gsLst>
      <a:lin ang="5400000" scaled="0"/>
    </a:gradFill>
    <a:scene3d>
      <a:camera prst="orthographicFront"/>
      <a:lightRig rig="threePt" dir="t"/>
    </a:scene3d>
    <a:sp3d>
      <a:bevelT/>
      <a:bevelB/>
    </a:sp3d>
  </c:sp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6</xdr:row>
      <xdr:rowOff>28575</xdr:rowOff>
    </xdr:from>
    <xdr:to>
      <xdr:col>1</xdr:col>
      <xdr:colOff>676275</xdr:colOff>
      <xdr:row>6</xdr:row>
      <xdr:rowOff>209550</xdr:rowOff>
    </xdr:to>
    <xdr:sp macro="" textlink="">
      <xdr:nvSpPr>
        <xdr:cNvPr id="3" name="مربع نص 2"/>
        <xdr:cNvSpPr txBox="1"/>
      </xdr:nvSpPr>
      <xdr:spPr>
        <a:xfrm>
          <a:off x="9989800950" y="1466850"/>
          <a:ext cx="180975" cy="1809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1" anchor="t"/>
        <a:lstStyle/>
        <a:p>
          <a:pPr algn="ctr" rtl="1"/>
          <a:r>
            <a:rPr lang="ar-SA" sz="1100"/>
            <a:t>*</a:t>
          </a:r>
        </a:p>
      </xdr:txBody>
    </xdr:sp>
    <xdr:clientData/>
  </xdr:twoCellAnchor>
  <xdr:twoCellAnchor>
    <xdr:from>
      <xdr:col>4</xdr:col>
      <xdr:colOff>371474</xdr:colOff>
      <xdr:row>6</xdr:row>
      <xdr:rowOff>28575</xdr:rowOff>
    </xdr:from>
    <xdr:to>
      <xdr:col>4</xdr:col>
      <xdr:colOff>714375</xdr:colOff>
      <xdr:row>6</xdr:row>
      <xdr:rowOff>209551</xdr:rowOff>
    </xdr:to>
    <xdr:sp macro="" textlink="">
      <xdr:nvSpPr>
        <xdr:cNvPr id="4" name="مربع نص 3"/>
        <xdr:cNvSpPr txBox="1"/>
      </xdr:nvSpPr>
      <xdr:spPr>
        <a:xfrm>
          <a:off x="9986905350" y="1466850"/>
          <a:ext cx="342901" cy="180976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1" anchor="t"/>
        <a:lstStyle/>
        <a:p>
          <a:pPr algn="r" rtl="1"/>
          <a:r>
            <a:rPr lang="ar-SA" sz="1100"/>
            <a:t>**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428625</xdr:colOff>
      <xdr:row>0</xdr:row>
      <xdr:rowOff>166687</xdr:rowOff>
    </xdr:from>
    <xdr:to>
      <xdr:col>16</xdr:col>
      <xdr:colOff>123825</xdr:colOff>
      <xdr:row>8</xdr:row>
      <xdr:rowOff>280987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0.38651</cdr:y>
    </cdr:from>
    <cdr:to>
      <cdr:x>0.08854</cdr:x>
      <cdr:y>0.62421</cdr:y>
    </cdr:to>
    <cdr:sp macro="" textlink="">
      <cdr:nvSpPr>
        <cdr:cNvPr id="2" name="TextBox 2"/>
        <cdr:cNvSpPr txBox="1"/>
      </cdr:nvSpPr>
      <cdr:spPr>
        <a:xfrm xmlns:a="http://schemas.openxmlformats.org/drawingml/2006/main" rot="16200000">
          <a:off x="-123642" y="1183907"/>
          <a:ext cx="652072" cy="4047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ar-SA" sz="1100" b="1"/>
            <a:t>ألف طن</a:t>
          </a:r>
          <a:endParaRPr lang="ar-IQ" sz="1100" b="1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1085850</xdr:colOff>
      <xdr:row>7</xdr:row>
      <xdr:rowOff>80962</xdr:rowOff>
    </xdr:from>
    <xdr:to>
      <xdr:col>13</xdr:col>
      <xdr:colOff>304800</xdr:colOff>
      <xdr:row>17</xdr:row>
      <xdr:rowOff>61912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0.03241</cdr:x>
      <cdr:y>0.29688</cdr:y>
    </cdr:from>
    <cdr:to>
      <cdr:x>0.09604</cdr:x>
      <cdr:y>0.6426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137726" y="1121923"/>
          <a:ext cx="948392" cy="3333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ar-SA" sz="1000" b="1"/>
            <a:t>مليون م</a:t>
          </a:r>
          <a:r>
            <a:rPr lang="ar-SA" sz="1000" b="1">
              <a:latin typeface="Calibri"/>
            </a:rPr>
            <a:t>²</a:t>
          </a:r>
          <a:endParaRPr lang="ar-IQ" sz="1000" b="1"/>
        </a:p>
      </cdr:txBody>
    </cdr:sp>
  </cdr:relSizeAnchor>
</c:userShape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F50"/>
  <sheetViews>
    <sheetView rightToLeft="1" tabSelected="1" view="pageBreakPreview" zoomScaleSheetLayoutView="100" workbookViewId="0">
      <selection activeCell="A37" sqref="A37:XFD37"/>
    </sheetView>
  </sheetViews>
  <sheetFormatPr defaultRowHeight="12.75"/>
  <cols>
    <col min="1" max="1" width="2" customWidth="1"/>
    <col min="2" max="3" width="15" customWidth="1"/>
    <col min="4" max="4" width="22.85546875" customWidth="1"/>
    <col min="5" max="5" width="22" customWidth="1"/>
    <col min="6" max="6" width="11.5703125" customWidth="1"/>
  </cols>
  <sheetData>
    <row r="1" spans="1:6" ht="36.75" customHeight="1">
      <c r="A1" s="239" t="s">
        <v>70</v>
      </c>
      <c r="B1" s="239"/>
      <c r="C1" s="239"/>
      <c r="D1" s="239"/>
      <c r="E1" s="239"/>
      <c r="F1" s="239"/>
    </row>
    <row r="2" spans="1:6" ht="33" customHeight="1" thickBot="1">
      <c r="B2" s="240" t="s">
        <v>95</v>
      </c>
      <c r="C2" s="240"/>
      <c r="D2" s="69"/>
      <c r="E2" s="69"/>
      <c r="F2" s="69"/>
    </row>
    <row r="3" spans="1:6" ht="42" customHeight="1" thickTop="1">
      <c r="B3" s="109" t="s">
        <v>53</v>
      </c>
      <c r="C3" s="109"/>
      <c r="D3" s="226" t="s">
        <v>50</v>
      </c>
      <c r="E3" s="120" t="s">
        <v>72</v>
      </c>
    </row>
    <row r="4" spans="1:6" ht="39.950000000000003" customHeight="1">
      <c r="A4" s="3"/>
      <c r="B4" s="234" t="s">
        <v>19</v>
      </c>
      <c r="C4" s="234"/>
      <c r="D4" s="229">
        <v>54</v>
      </c>
      <c r="E4" s="229">
        <f>D4/174.4*100</f>
        <v>30.963302752293576</v>
      </c>
      <c r="F4" s="15"/>
    </row>
    <row r="5" spans="1:6" ht="39.950000000000003" customHeight="1">
      <c r="A5" s="1"/>
      <c r="B5" s="233" t="s">
        <v>31</v>
      </c>
      <c r="C5" s="233"/>
      <c r="D5" s="228">
        <v>48</v>
      </c>
      <c r="E5" s="229">
        <f t="shared" ref="E5:E10" si="0">D5/174.4*100</f>
        <v>27.522935779816514</v>
      </c>
      <c r="F5" s="15"/>
    </row>
    <row r="6" spans="1:6" ht="39.950000000000003" customHeight="1">
      <c r="A6" s="1"/>
      <c r="B6" s="234" t="s">
        <v>32</v>
      </c>
      <c r="C6" s="234"/>
      <c r="D6" s="228">
        <v>47.7</v>
      </c>
      <c r="E6" s="229">
        <f t="shared" si="0"/>
        <v>27.350917431192663</v>
      </c>
      <c r="F6" s="15"/>
    </row>
    <row r="7" spans="1:6" ht="39.950000000000003" customHeight="1">
      <c r="B7" s="233" t="s">
        <v>16</v>
      </c>
      <c r="C7" s="233"/>
      <c r="D7" s="228">
        <v>16</v>
      </c>
      <c r="E7" s="229">
        <f t="shared" si="0"/>
        <v>9.1743119266055029</v>
      </c>
      <c r="F7" s="15"/>
    </row>
    <row r="8" spans="1:6" ht="39.950000000000003" customHeight="1">
      <c r="B8" s="233" t="s">
        <v>17</v>
      </c>
      <c r="C8" s="233"/>
      <c r="D8" s="228">
        <v>7</v>
      </c>
      <c r="E8" s="229">
        <f t="shared" si="0"/>
        <v>4.0137614678899078</v>
      </c>
      <c r="F8" s="15"/>
    </row>
    <row r="9" spans="1:6" ht="39.950000000000003" customHeight="1" thickBot="1">
      <c r="A9" s="2"/>
      <c r="B9" s="233" t="s">
        <v>18</v>
      </c>
      <c r="C9" s="233"/>
      <c r="D9" s="230">
        <v>1.7</v>
      </c>
      <c r="E9" s="229">
        <f t="shared" si="0"/>
        <v>0.97477064220183474</v>
      </c>
      <c r="F9" s="15"/>
    </row>
    <row r="10" spans="1:6" ht="39.950000000000003" customHeight="1" thickTop="1" thickBot="1">
      <c r="A10" s="1"/>
      <c r="B10" s="238" t="s">
        <v>40</v>
      </c>
      <c r="C10" s="238"/>
      <c r="D10" s="231">
        <f>SUM(D4:D9)</f>
        <v>174.39999999999998</v>
      </c>
      <c r="E10" s="231">
        <f t="shared" si="0"/>
        <v>99.999999999999986</v>
      </c>
      <c r="F10" s="92"/>
    </row>
    <row r="11" spans="1:6" ht="13.5" customHeight="1" thickTop="1">
      <c r="A11" s="1"/>
      <c r="B11" s="236"/>
      <c r="C11" s="236"/>
      <c r="D11" s="3"/>
      <c r="E11" s="3"/>
      <c r="F11" s="15"/>
    </row>
    <row r="12" spans="1:6" ht="20.25" customHeight="1">
      <c r="A12" s="1"/>
      <c r="B12" s="236" t="s">
        <v>111</v>
      </c>
      <c r="C12" s="236"/>
      <c r="D12" s="236"/>
      <c r="E12" s="52"/>
      <c r="F12" s="52"/>
    </row>
    <row r="13" spans="1:6">
      <c r="A13" s="236"/>
      <c r="B13" s="236"/>
      <c r="C13" s="236"/>
      <c r="D13" s="236"/>
      <c r="E13" s="236"/>
      <c r="F13" s="236"/>
    </row>
    <row r="14" spans="1:6" s="71" customFormat="1">
      <c r="A14" s="232"/>
      <c r="B14" s="232"/>
      <c r="C14" s="232"/>
      <c r="D14" s="232"/>
      <c r="E14" s="232"/>
      <c r="F14" s="232"/>
    </row>
    <row r="15" spans="1:6" s="71" customFormat="1">
      <c r="A15" s="232"/>
      <c r="B15" s="232"/>
      <c r="C15" s="232"/>
      <c r="D15" s="232"/>
      <c r="E15" s="232"/>
      <c r="F15" s="232"/>
    </row>
    <row r="16" spans="1:6" s="71" customFormat="1">
      <c r="A16" s="232"/>
      <c r="B16" s="232"/>
      <c r="C16" s="232"/>
      <c r="D16" s="232"/>
      <c r="E16" s="232"/>
      <c r="F16" s="232"/>
    </row>
    <row r="17" spans="1:6" s="71" customFormat="1">
      <c r="A17" s="232"/>
      <c r="B17" s="232"/>
      <c r="C17" s="232"/>
      <c r="D17" s="232"/>
      <c r="E17" s="232"/>
      <c r="F17" s="232"/>
    </row>
    <row r="18" spans="1:6" s="71" customFormat="1">
      <c r="A18" s="232"/>
      <c r="B18" s="232"/>
      <c r="C18" s="232"/>
      <c r="D18" s="232"/>
      <c r="E18" s="232"/>
      <c r="F18" s="232"/>
    </row>
    <row r="19" spans="1:6" s="71" customFormat="1">
      <c r="A19" s="232"/>
      <c r="B19" s="232"/>
      <c r="C19" s="232"/>
      <c r="D19" s="232"/>
      <c r="E19" s="232"/>
      <c r="F19" s="232"/>
    </row>
    <row r="20" spans="1:6" s="71" customFormat="1">
      <c r="A20" s="232"/>
      <c r="B20" s="232"/>
      <c r="C20" s="232"/>
      <c r="D20" s="232"/>
      <c r="E20" s="232"/>
      <c r="F20" s="232"/>
    </row>
    <row r="21" spans="1:6" s="71" customFormat="1">
      <c r="A21" s="232"/>
      <c r="B21" s="232"/>
      <c r="C21" s="232"/>
      <c r="D21" s="232"/>
      <c r="E21" s="232"/>
      <c r="F21" s="232"/>
    </row>
    <row r="22" spans="1:6" s="71" customFormat="1">
      <c r="A22" s="232"/>
      <c r="B22" s="232"/>
      <c r="C22" s="232"/>
      <c r="D22" s="232"/>
      <c r="E22" s="232"/>
      <c r="F22" s="232"/>
    </row>
    <row r="23" spans="1:6" s="71" customFormat="1">
      <c r="A23" s="232"/>
      <c r="B23" s="232"/>
      <c r="C23" s="232"/>
      <c r="D23" s="232"/>
      <c r="E23" s="232"/>
      <c r="F23" s="232"/>
    </row>
    <row r="24" spans="1:6" s="71" customFormat="1">
      <c r="A24" s="232"/>
      <c r="B24" s="232"/>
      <c r="C24" s="232"/>
      <c r="D24" s="232"/>
      <c r="E24" s="232"/>
      <c r="F24" s="232"/>
    </row>
    <row r="25" spans="1:6" s="71" customFormat="1">
      <c r="A25" s="232"/>
      <c r="B25" s="232"/>
      <c r="C25" s="232"/>
      <c r="D25" s="232"/>
      <c r="E25" s="232"/>
      <c r="F25" s="232"/>
    </row>
    <row r="26" spans="1:6" s="71" customFormat="1">
      <c r="A26" s="232"/>
      <c r="B26" s="232"/>
      <c r="C26" s="232"/>
      <c r="D26" s="232"/>
      <c r="E26" s="232"/>
      <c r="F26" s="232"/>
    </row>
    <row r="27" spans="1:6" s="71" customFormat="1">
      <c r="A27" s="232"/>
      <c r="B27" s="232"/>
      <c r="C27" s="232"/>
      <c r="D27" s="232"/>
      <c r="E27" s="232"/>
      <c r="F27" s="232"/>
    </row>
    <row r="28" spans="1:6" s="71" customFormat="1">
      <c r="A28" s="232"/>
      <c r="B28" s="232"/>
      <c r="C28" s="232"/>
      <c r="D28" s="232"/>
      <c r="E28" s="232"/>
      <c r="F28" s="232"/>
    </row>
    <row r="29" spans="1:6" s="71" customFormat="1">
      <c r="A29" s="232"/>
      <c r="B29" s="232"/>
      <c r="C29" s="232"/>
      <c r="D29" s="232"/>
      <c r="E29" s="232"/>
      <c r="F29" s="232"/>
    </row>
    <row r="30" spans="1:6" s="71" customFormat="1">
      <c r="A30" s="232"/>
      <c r="B30" s="232"/>
      <c r="C30" s="232"/>
      <c r="D30" s="232"/>
      <c r="E30" s="232"/>
      <c r="F30" s="232"/>
    </row>
    <row r="31" spans="1:6" s="71" customFormat="1">
      <c r="A31" s="232"/>
      <c r="B31" s="232"/>
      <c r="C31" s="232"/>
      <c r="D31" s="232"/>
      <c r="E31" s="232"/>
      <c r="F31" s="232"/>
    </row>
    <row r="32" spans="1:6">
      <c r="A32" s="1"/>
      <c r="B32" s="1"/>
      <c r="C32" s="1"/>
    </row>
    <row r="33" spans="1:6" ht="15.75" customHeight="1">
      <c r="A33" s="1"/>
      <c r="B33" s="1"/>
      <c r="C33" s="1"/>
    </row>
    <row r="34" spans="1:6" s="30" customFormat="1" ht="15.75" customHeight="1">
      <c r="A34" s="1"/>
      <c r="B34" s="1"/>
      <c r="C34" s="1"/>
    </row>
    <row r="35" spans="1:6" s="30" customFormat="1" ht="15.75" customHeight="1">
      <c r="A35" s="1"/>
      <c r="B35" s="1"/>
      <c r="C35" s="1"/>
    </row>
    <row r="36" spans="1:6">
      <c r="A36" s="1"/>
      <c r="B36" s="1"/>
      <c r="C36" s="1"/>
    </row>
    <row r="37" spans="1:6" ht="15.75" customHeight="1">
      <c r="A37" s="1"/>
      <c r="B37" s="1"/>
      <c r="C37" s="1"/>
    </row>
    <row r="38" spans="1:6" ht="21" customHeight="1">
      <c r="A38" s="1"/>
      <c r="B38" s="1"/>
      <c r="C38" s="1"/>
      <c r="F38" s="27"/>
    </row>
    <row r="39" spans="1:6" ht="29.25" customHeight="1">
      <c r="B39" s="237" t="s">
        <v>51</v>
      </c>
      <c r="C39" s="237"/>
      <c r="D39" s="237"/>
      <c r="E39" s="227">
        <v>100</v>
      </c>
      <c r="F39" s="27"/>
    </row>
    <row r="40" spans="1:6">
      <c r="A40" s="1"/>
      <c r="B40" s="1"/>
      <c r="C40" s="1"/>
    </row>
    <row r="41" spans="1:6">
      <c r="A41" s="1"/>
      <c r="B41" s="1"/>
      <c r="C41" s="1"/>
    </row>
    <row r="42" spans="1:6">
      <c r="A42" s="1"/>
      <c r="B42" s="1"/>
      <c r="C42" s="1"/>
    </row>
    <row r="43" spans="1:6" ht="14.25">
      <c r="A43" s="1"/>
      <c r="B43" s="1"/>
      <c r="C43" s="1"/>
      <c r="E43" s="235"/>
      <c r="F43" s="235"/>
    </row>
    <row r="44" spans="1:6">
      <c r="A44" s="1"/>
      <c r="B44" s="1"/>
      <c r="C44" s="1"/>
    </row>
    <row r="45" spans="1:6">
      <c r="A45" s="1"/>
      <c r="B45" s="1"/>
      <c r="C45" s="1"/>
    </row>
    <row r="46" spans="1:6">
      <c r="A46" s="1"/>
      <c r="B46" s="1"/>
      <c r="C46" s="1"/>
    </row>
    <row r="49" spans="1:6" ht="14.25" customHeight="1"/>
    <row r="50" spans="1:6" ht="14.25" customHeight="1">
      <c r="A50" s="3"/>
      <c r="B50" s="3"/>
      <c r="C50" s="3"/>
      <c r="D50" s="3"/>
      <c r="E50" s="3"/>
      <c r="F50" s="3"/>
    </row>
  </sheetData>
  <mergeCells count="14">
    <mergeCell ref="A1:F1"/>
    <mergeCell ref="B5:C5"/>
    <mergeCell ref="B2:C2"/>
    <mergeCell ref="B7:C7"/>
    <mergeCell ref="B8:C8"/>
    <mergeCell ref="B9:C9"/>
    <mergeCell ref="B4:C4"/>
    <mergeCell ref="B6:C6"/>
    <mergeCell ref="E43:F43"/>
    <mergeCell ref="A13:F13"/>
    <mergeCell ref="B39:D39"/>
    <mergeCell ref="B11:C11"/>
    <mergeCell ref="B10:C10"/>
    <mergeCell ref="B12:D12"/>
  </mergeCells>
  <phoneticPr fontId="6" type="noConversion"/>
  <printOptions horizontalCentered="1"/>
  <pageMargins left="0.511811023622047" right="0.511811023622047" top="0.59055118110236204" bottom="0.196850393700787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L38"/>
  <sheetViews>
    <sheetView rightToLeft="1" view="pageBreakPreview" topLeftCell="A7" zoomScale="91" zoomScaleSheetLayoutView="91" workbookViewId="0">
      <selection activeCell="B1" sqref="B1:H1"/>
    </sheetView>
  </sheetViews>
  <sheetFormatPr defaultRowHeight="12.75"/>
  <cols>
    <col min="1" max="1" width="5.42578125" style="71" customWidth="1"/>
    <col min="2" max="2" width="18" customWidth="1"/>
    <col min="3" max="3" width="19.85546875" style="71" customWidth="1"/>
    <col min="4" max="5" width="16.7109375" customWidth="1"/>
    <col min="6" max="6" width="22" customWidth="1"/>
    <col min="7" max="7" width="14.140625" style="71" customWidth="1"/>
    <col min="8" max="8" width="16.7109375" style="70" customWidth="1"/>
  </cols>
  <sheetData>
    <row r="1" spans="1:12" ht="20.25" customHeight="1">
      <c r="B1" s="241" t="s">
        <v>123</v>
      </c>
      <c r="C1" s="241"/>
      <c r="D1" s="241"/>
      <c r="E1" s="241"/>
      <c r="F1" s="241"/>
      <c r="G1" s="241"/>
      <c r="H1" s="241"/>
    </row>
    <row r="2" spans="1:12" s="9" customFormat="1" ht="17.25" customHeight="1" thickBot="1">
      <c r="A2" s="72"/>
      <c r="B2" s="63" t="s">
        <v>34</v>
      </c>
      <c r="C2" s="129"/>
      <c r="G2" s="71"/>
      <c r="H2" s="206" t="s">
        <v>52</v>
      </c>
    </row>
    <row r="3" spans="1:12" ht="24" customHeight="1" thickTop="1">
      <c r="A3" s="72"/>
      <c r="B3" s="243" t="s">
        <v>14</v>
      </c>
      <c r="C3" s="246" t="s">
        <v>79</v>
      </c>
      <c r="D3" s="245" t="s">
        <v>74</v>
      </c>
      <c r="E3" s="245"/>
      <c r="F3" s="245"/>
      <c r="G3" s="245"/>
      <c r="H3" s="243" t="s">
        <v>54</v>
      </c>
    </row>
    <row r="4" spans="1:12" s="71" customFormat="1" ht="21.75" customHeight="1">
      <c r="A4" s="72"/>
      <c r="B4" s="244"/>
      <c r="C4" s="247"/>
      <c r="D4" s="141" t="s">
        <v>80</v>
      </c>
      <c r="E4" s="141" t="s">
        <v>81</v>
      </c>
      <c r="F4" s="141" t="s">
        <v>82</v>
      </c>
      <c r="G4" s="141" t="s">
        <v>0</v>
      </c>
      <c r="H4" s="244"/>
    </row>
    <row r="5" spans="1:12" ht="20.100000000000001" customHeight="1">
      <c r="A5" s="72"/>
      <c r="B5" s="53" t="s">
        <v>15</v>
      </c>
      <c r="C5" s="162">
        <v>5539200</v>
      </c>
      <c r="D5" s="162">
        <v>17750</v>
      </c>
      <c r="E5" s="179">
        <v>5249281</v>
      </c>
      <c r="F5" s="162">
        <v>195310</v>
      </c>
      <c r="G5" s="162">
        <f>D5+E5+F5</f>
        <v>5462341</v>
      </c>
      <c r="H5" s="179">
        <v>15580</v>
      </c>
    </row>
    <row r="6" spans="1:12" s="37" customFormat="1" ht="20.100000000000001" customHeight="1">
      <c r="A6" s="72"/>
      <c r="B6" s="102" t="s">
        <v>1</v>
      </c>
      <c r="C6" s="104">
        <v>1883040</v>
      </c>
      <c r="D6" s="104">
        <v>119486</v>
      </c>
      <c r="E6" s="104">
        <v>247718</v>
      </c>
      <c r="F6" s="104">
        <v>151340</v>
      </c>
      <c r="G6" s="162">
        <f t="shared" ref="G6:G20" si="0">D6+E6+F6</f>
        <v>518544</v>
      </c>
      <c r="H6" s="107">
        <v>4964</v>
      </c>
    </row>
    <row r="7" spans="1:12" s="37" customFormat="1" ht="20.100000000000001" customHeight="1">
      <c r="A7" s="72"/>
      <c r="B7" s="103" t="s">
        <v>2</v>
      </c>
      <c r="C7" s="104">
        <v>2164000</v>
      </c>
      <c r="D7" s="104">
        <v>224746</v>
      </c>
      <c r="E7" s="104">
        <v>15000</v>
      </c>
      <c r="F7" s="104">
        <v>78644</v>
      </c>
      <c r="G7" s="162">
        <f t="shared" si="0"/>
        <v>318390</v>
      </c>
      <c r="H7" s="107">
        <v>107550</v>
      </c>
    </row>
    <row r="8" spans="1:12" ht="20.100000000000001" customHeight="1">
      <c r="A8" s="72"/>
      <c r="B8" s="54" t="s">
        <v>30</v>
      </c>
      <c r="C8" s="107">
        <v>417640</v>
      </c>
      <c r="D8" s="104">
        <v>134300</v>
      </c>
      <c r="E8" s="104">
        <v>0</v>
      </c>
      <c r="F8" s="104">
        <v>346560</v>
      </c>
      <c r="G8" s="179">
        <f t="shared" si="0"/>
        <v>480860</v>
      </c>
      <c r="H8" s="107">
        <v>37163</v>
      </c>
    </row>
    <row r="9" spans="1:12" ht="20.100000000000001" customHeight="1">
      <c r="A9" s="72"/>
      <c r="B9" s="55" t="s">
        <v>3</v>
      </c>
      <c r="C9" s="122">
        <v>41920</v>
      </c>
      <c r="D9" s="107">
        <v>180586</v>
      </c>
      <c r="E9" s="122">
        <v>0</v>
      </c>
      <c r="F9" s="107">
        <v>20161</v>
      </c>
      <c r="G9" s="179">
        <f t="shared" si="0"/>
        <v>200747</v>
      </c>
      <c r="H9" s="181">
        <v>115405</v>
      </c>
    </row>
    <row r="10" spans="1:12" s="98" customFormat="1" ht="20.100000000000001" customHeight="1">
      <c r="A10" s="72"/>
      <c r="B10" s="102" t="s">
        <v>4</v>
      </c>
      <c r="C10" s="161">
        <v>1236000</v>
      </c>
      <c r="D10" s="104">
        <v>294700</v>
      </c>
      <c r="E10" s="161">
        <v>0</v>
      </c>
      <c r="F10" s="104">
        <v>0</v>
      </c>
      <c r="G10" s="179">
        <f t="shared" si="0"/>
        <v>294700</v>
      </c>
      <c r="H10" s="122">
        <v>132122</v>
      </c>
    </row>
    <row r="11" spans="1:12" s="98" customFormat="1" ht="20.100000000000001" customHeight="1">
      <c r="A11" s="72"/>
      <c r="B11" s="103" t="s">
        <v>5</v>
      </c>
      <c r="C11" s="104">
        <v>74880</v>
      </c>
      <c r="D11" s="104">
        <v>29440</v>
      </c>
      <c r="E11" s="107">
        <v>0</v>
      </c>
      <c r="F11" s="104">
        <v>43904</v>
      </c>
      <c r="G11" s="179">
        <f t="shared" si="0"/>
        <v>73344</v>
      </c>
      <c r="H11" s="107">
        <v>117783</v>
      </c>
    </row>
    <row r="12" spans="1:12" ht="20.100000000000001" customHeight="1">
      <c r="A12" s="72"/>
      <c r="B12" s="55" t="s">
        <v>6</v>
      </c>
      <c r="C12" s="161">
        <v>1508840</v>
      </c>
      <c r="D12" s="104">
        <v>1137688</v>
      </c>
      <c r="E12" s="107">
        <v>28000</v>
      </c>
      <c r="F12" s="104">
        <v>2500</v>
      </c>
      <c r="G12" s="179">
        <f t="shared" si="0"/>
        <v>1168188</v>
      </c>
      <c r="H12" s="107">
        <v>59225</v>
      </c>
    </row>
    <row r="13" spans="1:12" ht="20.100000000000001" customHeight="1">
      <c r="A13" s="72"/>
      <c r="B13" s="103" t="s">
        <v>23</v>
      </c>
      <c r="C13" s="104">
        <v>1418080</v>
      </c>
      <c r="D13" s="104">
        <v>163908</v>
      </c>
      <c r="E13" s="104">
        <v>0</v>
      </c>
      <c r="F13" s="104">
        <v>785310</v>
      </c>
      <c r="G13" s="179">
        <f t="shared" si="0"/>
        <v>949218</v>
      </c>
      <c r="H13" s="107">
        <v>137101</v>
      </c>
      <c r="I13" s="100"/>
    </row>
    <row r="14" spans="1:12" s="37" customFormat="1" ht="20.100000000000001" customHeight="1">
      <c r="A14" s="72"/>
      <c r="B14" s="103" t="s">
        <v>8</v>
      </c>
      <c r="C14" s="107">
        <v>169160</v>
      </c>
      <c r="D14" s="104">
        <v>205210</v>
      </c>
      <c r="E14" s="104">
        <v>0</v>
      </c>
      <c r="F14" s="104">
        <v>58563</v>
      </c>
      <c r="G14" s="179">
        <f t="shared" si="0"/>
        <v>263773</v>
      </c>
      <c r="H14" s="107">
        <v>30503</v>
      </c>
      <c r="I14" s="101"/>
      <c r="L14" s="101"/>
    </row>
    <row r="15" spans="1:12" s="98" customFormat="1" ht="20.100000000000001" customHeight="1">
      <c r="A15" s="72"/>
      <c r="B15" s="102" t="s">
        <v>25</v>
      </c>
      <c r="C15" s="122">
        <v>988000</v>
      </c>
      <c r="D15" s="104">
        <v>555830</v>
      </c>
      <c r="E15" s="161">
        <v>0</v>
      </c>
      <c r="F15" s="104">
        <v>5622</v>
      </c>
      <c r="G15" s="179">
        <f t="shared" si="0"/>
        <v>561452</v>
      </c>
      <c r="H15" s="122">
        <v>38562</v>
      </c>
    </row>
    <row r="16" spans="1:12" s="37" customFormat="1" ht="20.100000000000001" customHeight="1">
      <c r="A16" s="72"/>
      <c r="B16" s="103" t="s">
        <v>10</v>
      </c>
      <c r="C16" s="107">
        <v>288520</v>
      </c>
      <c r="D16" s="104">
        <v>152110</v>
      </c>
      <c r="E16" s="104">
        <v>0</v>
      </c>
      <c r="F16" s="104">
        <v>146570</v>
      </c>
      <c r="G16" s="179">
        <f t="shared" si="0"/>
        <v>298680</v>
      </c>
      <c r="H16" s="107">
        <v>23339</v>
      </c>
    </row>
    <row r="17" spans="1:9" s="98" customFormat="1" ht="20.100000000000001" customHeight="1">
      <c r="A17" s="72"/>
      <c r="B17" s="103" t="s">
        <v>11</v>
      </c>
      <c r="C17" s="107">
        <v>1019320</v>
      </c>
      <c r="D17" s="104">
        <v>355681</v>
      </c>
      <c r="E17" s="107">
        <v>0</v>
      </c>
      <c r="F17" s="104">
        <v>360</v>
      </c>
      <c r="G17" s="179">
        <f t="shared" si="0"/>
        <v>356041</v>
      </c>
      <c r="H17" s="107">
        <v>44893</v>
      </c>
      <c r="I17" s="99"/>
    </row>
    <row r="18" spans="1:9" s="98" customFormat="1" ht="20.100000000000001" customHeight="1">
      <c r="A18" s="72"/>
      <c r="B18" s="105" t="s">
        <v>12</v>
      </c>
      <c r="C18" s="162">
        <v>1184519.9999999998</v>
      </c>
      <c r="D18" s="104">
        <v>391460</v>
      </c>
      <c r="E18" s="162">
        <v>0</v>
      </c>
      <c r="F18" s="104">
        <v>1798</v>
      </c>
      <c r="G18" s="179">
        <f t="shared" si="0"/>
        <v>393258</v>
      </c>
      <c r="H18" s="179">
        <v>4964</v>
      </c>
    </row>
    <row r="19" spans="1:9" s="37" customFormat="1" ht="20.100000000000001" customHeight="1" thickBot="1">
      <c r="A19" s="72"/>
      <c r="B19" s="106" t="s">
        <v>24</v>
      </c>
      <c r="C19" s="161">
        <v>209680</v>
      </c>
      <c r="D19" s="161">
        <v>37105</v>
      </c>
      <c r="E19" s="161">
        <v>0</v>
      </c>
      <c r="F19" s="161">
        <v>32510</v>
      </c>
      <c r="G19" s="179">
        <f t="shared" si="0"/>
        <v>69615</v>
      </c>
      <c r="H19" s="122">
        <v>50997</v>
      </c>
    </row>
    <row r="20" spans="1:9" ht="20.100000000000001" customHeight="1" thickTop="1" thickBot="1">
      <c r="A20" s="72"/>
      <c r="B20" s="138" t="s">
        <v>41</v>
      </c>
      <c r="C20" s="182">
        <f>SUM(C5:C19)</f>
        <v>18142800</v>
      </c>
      <c r="D20" s="182">
        <f t="shared" ref="D20" si="1">SUM(D5:D19)</f>
        <v>4000000</v>
      </c>
      <c r="E20" s="182">
        <f t="shared" ref="E20:F20" si="2">SUM(E5:E19)</f>
        <v>5539999</v>
      </c>
      <c r="F20" s="182">
        <f t="shared" si="2"/>
        <v>1869152</v>
      </c>
      <c r="G20" s="182">
        <f t="shared" si="0"/>
        <v>11409151</v>
      </c>
      <c r="H20" s="183">
        <f>SUM(H5:H19)</f>
        <v>920151</v>
      </c>
    </row>
    <row r="21" spans="1:9" s="6" customFormat="1" ht="20.100000000000001" customHeight="1" thickTop="1" thickBot="1">
      <c r="B21" s="136" t="s">
        <v>42</v>
      </c>
      <c r="C21" s="184"/>
      <c r="D21" s="184"/>
      <c r="E21" s="184"/>
      <c r="F21" s="184"/>
      <c r="G21" s="184"/>
      <c r="H21" s="185"/>
    </row>
    <row r="22" spans="1:9" s="6" customFormat="1" ht="20.100000000000001" customHeight="1" thickTop="1">
      <c r="B22" s="28" t="s">
        <v>21</v>
      </c>
      <c r="C22" s="179">
        <v>2345080</v>
      </c>
      <c r="D22" s="104" t="s">
        <v>65</v>
      </c>
      <c r="E22" s="104" t="s">
        <v>65</v>
      </c>
      <c r="F22" s="104" t="s">
        <v>65</v>
      </c>
      <c r="G22" s="104" t="s">
        <v>65</v>
      </c>
      <c r="H22" s="107" t="s">
        <v>65</v>
      </c>
    </row>
    <row r="23" spans="1:9" s="6" customFormat="1" ht="20.100000000000001" customHeight="1">
      <c r="B23" s="28" t="s">
        <v>22</v>
      </c>
      <c r="C23" s="179">
        <v>589680</v>
      </c>
      <c r="D23" s="104" t="s">
        <v>65</v>
      </c>
      <c r="E23" s="104" t="s">
        <v>65</v>
      </c>
      <c r="F23" s="104" t="s">
        <v>65</v>
      </c>
      <c r="G23" s="104" t="s">
        <v>65</v>
      </c>
      <c r="H23" s="107" t="s">
        <v>65</v>
      </c>
      <c r="I23" s="47"/>
    </row>
    <row r="24" spans="1:9" s="6" customFormat="1" ht="20.100000000000001" customHeight="1" thickBot="1">
      <c r="B24" s="29" t="s">
        <v>49</v>
      </c>
      <c r="C24" s="179">
        <v>2368600</v>
      </c>
      <c r="D24" s="104" t="s">
        <v>65</v>
      </c>
      <c r="E24" s="104" t="s">
        <v>65</v>
      </c>
      <c r="F24" s="104" t="s">
        <v>65</v>
      </c>
      <c r="G24" s="104" t="s">
        <v>65</v>
      </c>
      <c r="H24" s="107" t="s">
        <v>65</v>
      </c>
    </row>
    <row r="25" spans="1:9" s="6" customFormat="1" ht="20.100000000000001" customHeight="1" thickTop="1" thickBot="1">
      <c r="B25" s="82" t="s">
        <v>41</v>
      </c>
      <c r="C25" s="183">
        <f>SUM(C22:C24)</f>
        <v>5303360</v>
      </c>
      <c r="D25" s="186" t="s">
        <v>65</v>
      </c>
      <c r="E25" s="186" t="s">
        <v>65</v>
      </c>
      <c r="F25" s="186" t="s">
        <v>65</v>
      </c>
      <c r="G25" s="186" t="s">
        <v>65</v>
      </c>
      <c r="H25" s="186" t="s">
        <v>65</v>
      </c>
      <c r="I25" s="47"/>
    </row>
    <row r="26" spans="1:9" s="6" customFormat="1" ht="20.100000000000001" customHeight="1" thickTop="1" thickBot="1">
      <c r="B26" s="115" t="s">
        <v>40</v>
      </c>
      <c r="C26" s="184">
        <f>C20+C25</f>
        <v>23446160</v>
      </c>
      <c r="D26" s="184">
        <f>D20</f>
        <v>4000000</v>
      </c>
      <c r="E26" s="184">
        <f>E20</f>
        <v>5539999</v>
      </c>
      <c r="F26" s="184">
        <f>F20</f>
        <v>1869152</v>
      </c>
      <c r="G26" s="184">
        <f>G20</f>
        <v>11409151</v>
      </c>
      <c r="H26" s="184">
        <f>H20</f>
        <v>920151</v>
      </c>
      <c r="I26" s="117"/>
    </row>
    <row r="27" spans="1:9" s="6" customFormat="1" ht="4.5" customHeight="1" thickTop="1">
      <c r="B27" s="204"/>
      <c r="C27" s="205"/>
      <c r="D27" s="205"/>
      <c r="E27" s="205"/>
      <c r="F27" s="205"/>
      <c r="G27" s="205"/>
      <c r="H27" s="205"/>
      <c r="I27" s="117"/>
    </row>
    <row r="28" spans="1:9" ht="15" customHeight="1">
      <c r="B28" s="242" t="s">
        <v>68</v>
      </c>
      <c r="C28" s="242"/>
      <c r="D28" s="242"/>
    </row>
    <row r="29" spans="1:9" s="9" customFormat="1" ht="7.5" hidden="1" customHeight="1">
      <c r="A29" s="71"/>
      <c r="B29" s="173"/>
      <c r="C29" s="126"/>
      <c r="D29" s="108"/>
      <c r="E29" s="108"/>
      <c r="F29" s="1" t="s">
        <v>65</v>
      </c>
      <c r="G29" s="1"/>
      <c r="H29" s="70"/>
    </row>
    <row r="30" spans="1:9" s="71" customFormat="1" ht="14.25" customHeight="1">
      <c r="B30" s="248" t="s">
        <v>121</v>
      </c>
      <c r="C30" s="248"/>
      <c r="D30" s="248"/>
      <c r="E30" s="248"/>
      <c r="F30" s="248"/>
      <c r="G30" s="248"/>
      <c r="H30" s="248"/>
    </row>
    <row r="31" spans="1:9" s="71" customFormat="1" ht="3" customHeight="1">
      <c r="B31" s="137"/>
      <c r="C31" s="137"/>
      <c r="D31" s="108"/>
      <c r="E31" s="108"/>
      <c r="F31" s="1"/>
      <c r="G31" s="1"/>
    </row>
    <row r="32" spans="1:9" s="71" customFormat="1" ht="15.75" customHeight="1">
      <c r="B32" s="236" t="s">
        <v>83</v>
      </c>
      <c r="C32" s="236"/>
      <c r="D32" s="236"/>
    </row>
    <row r="33" spans="2:8" ht="18.75" customHeight="1">
      <c r="B33" s="237" t="s">
        <v>51</v>
      </c>
      <c r="C33" s="237"/>
      <c r="D33" s="237"/>
      <c r="E33" s="60"/>
      <c r="F33" s="60"/>
      <c r="G33" s="60"/>
      <c r="H33" s="60">
        <v>101</v>
      </c>
    </row>
    <row r="34" spans="2:8" ht="18.75" customHeight="1">
      <c r="B34" s="4"/>
    </row>
    <row r="37" spans="2:8" ht="21">
      <c r="B37" s="8"/>
    </row>
    <row r="38" spans="2:8" ht="24.75">
      <c r="B38" s="5"/>
    </row>
  </sheetData>
  <mergeCells count="9">
    <mergeCell ref="B33:D33"/>
    <mergeCell ref="B1:H1"/>
    <mergeCell ref="B28:D28"/>
    <mergeCell ref="B32:D32"/>
    <mergeCell ref="B3:B4"/>
    <mergeCell ref="H3:H4"/>
    <mergeCell ref="D3:G3"/>
    <mergeCell ref="C3:C4"/>
    <mergeCell ref="B30:H30"/>
  </mergeCells>
  <phoneticPr fontId="6" type="noConversion"/>
  <printOptions horizontalCentered="1" verticalCentered="1"/>
  <pageMargins left="0.51181102362204722" right="0.51181102362204722" top="0.59055118110236227" bottom="0.19685039370078741" header="0" footer="0"/>
  <pageSetup paperSize="9" scale="9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7434"/>
  </sheetPr>
  <dimension ref="A1:T47"/>
  <sheetViews>
    <sheetView rightToLeft="1" view="pageBreakPreview" zoomScaleSheetLayoutView="100" workbookViewId="0">
      <selection sqref="A1:H1"/>
    </sheetView>
  </sheetViews>
  <sheetFormatPr defaultRowHeight="12.75"/>
  <cols>
    <col min="1" max="1" width="13.5703125" customWidth="1"/>
    <col min="2" max="2" width="14.5703125" customWidth="1"/>
    <col min="3" max="3" width="14.28515625" style="24" customWidth="1"/>
    <col min="4" max="4" width="14" style="24" customWidth="1"/>
    <col min="5" max="5" width="14.5703125" style="24" customWidth="1"/>
    <col min="6" max="6" width="0.85546875" style="31" customWidth="1"/>
    <col min="7" max="7" width="19.140625" customWidth="1"/>
    <col min="8" max="8" width="19.5703125" customWidth="1"/>
    <col min="9" max="9" width="27.140625" customWidth="1"/>
  </cols>
  <sheetData>
    <row r="1" spans="1:20" ht="18" customHeight="1">
      <c r="A1" s="250" t="s">
        <v>106</v>
      </c>
      <c r="B1" s="250"/>
      <c r="C1" s="250"/>
      <c r="D1" s="250"/>
      <c r="E1" s="250"/>
      <c r="F1" s="250"/>
      <c r="G1" s="250"/>
      <c r="H1" s="250"/>
    </row>
    <row r="2" spans="1:20" s="13" customFormat="1" ht="15.75" customHeight="1" thickBot="1">
      <c r="A2" s="58" t="s">
        <v>35</v>
      </c>
      <c r="B2" s="14"/>
      <c r="C2" s="256"/>
      <c r="D2" s="256"/>
      <c r="E2" s="25"/>
      <c r="F2" s="32"/>
      <c r="G2" s="25"/>
      <c r="H2" s="208" t="s">
        <v>37</v>
      </c>
    </row>
    <row r="3" spans="1:20" ht="18" customHeight="1" thickTop="1">
      <c r="A3" s="243" t="s">
        <v>14</v>
      </c>
      <c r="B3" s="243" t="s">
        <v>33</v>
      </c>
      <c r="C3" s="245" t="s">
        <v>86</v>
      </c>
      <c r="D3" s="245"/>
      <c r="E3" s="245"/>
      <c r="F3" s="245"/>
      <c r="G3" s="245"/>
      <c r="H3" s="253" t="s">
        <v>87</v>
      </c>
    </row>
    <row r="4" spans="1:20" ht="15.75" customHeight="1">
      <c r="A4" s="251"/>
      <c r="B4" s="251"/>
      <c r="C4" s="252" t="s">
        <v>64</v>
      </c>
      <c r="D4" s="252"/>
      <c r="E4" s="252"/>
      <c r="F4" s="75"/>
      <c r="G4" s="257" t="s">
        <v>73</v>
      </c>
      <c r="H4" s="254"/>
    </row>
    <row r="5" spans="1:20" ht="27" customHeight="1">
      <c r="A5" s="251"/>
      <c r="B5" s="244"/>
      <c r="C5" s="77" t="s">
        <v>100</v>
      </c>
      <c r="D5" s="77" t="s">
        <v>101</v>
      </c>
      <c r="E5" s="77" t="s">
        <v>0</v>
      </c>
      <c r="F5" s="76"/>
      <c r="G5" s="258"/>
      <c r="H5" s="255"/>
    </row>
    <row r="6" spans="1:20" s="6" customFormat="1" ht="18.95" customHeight="1">
      <c r="A6" s="35" t="s">
        <v>15</v>
      </c>
      <c r="B6" s="42" t="s">
        <v>65</v>
      </c>
      <c r="C6" s="196">
        <v>12</v>
      </c>
      <c r="D6" s="88">
        <v>0</v>
      </c>
      <c r="E6" s="196">
        <f>C6+D6</f>
        <v>12</v>
      </c>
      <c r="F6" s="42"/>
      <c r="G6" s="43">
        <v>198</v>
      </c>
      <c r="H6" s="196">
        <f>E6+G6</f>
        <v>210</v>
      </c>
      <c r="I6" s="47"/>
    </row>
    <row r="7" spans="1:20" s="6" customFormat="1" ht="18.95" customHeight="1">
      <c r="A7" s="144" t="s">
        <v>88</v>
      </c>
      <c r="B7" s="194">
        <v>638220</v>
      </c>
      <c r="C7" s="91" t="s">
        <v>65</v>
      </c>
      <c r="D7" s="111" t="s">
        <v>65</v>
      </c>
      <c r="E7" s="195">
        <v>2315</v>
      </c>
      <c r="F7" s="159"/>
      <c r="G7" s="159">
        <v>3244</v>
      </c>
      <c r="H7" s="194">
        <f>B7+E7+G7</f>
        <v>643779</v>
      </c>
      <c r="I7" s="47"/>
      <c r="N7" s="58"/>
      <c r="O7" s="58"/>
      <c r="P7" s="58"/>
      <c r="Q7" s="58"/>
      <c r="R7" s="58"/>
      <c r="S7" s="58"/>
      <c r="T7" s="58"/>
    </row>
    <row r="8" spans="1:20" s="6" customFormat="1" ht="18.95" customHeight="1">
      <c r="A8" s="28" t="s">
        <v>2</v>
      </c>
      <c r="B8" s="57" t="s">
        <v>65</v>
      </c>
      <c r="C8" s="195">
        <v>644</v>
      </c>
      <c r="D8" s="88">
        <v>0</v>
      </c>
      <c r="E8" s="195">
        <f>C8+D8</f>
        <v>644</v>
      </c>
      <c r="F8" s="57"/>
      <c r="G8" s="45">
        <v>25</v>
      </c>
      <c r="H8" s="194">
        <f>E8+G8</f>
        <v>669</v>
      </c>
      <c r="I8" s="47"/>
    </row>
    <row r="9" spans="1:20" s="6" customFormat="1" ht="18.95" customHeight="1">
      <c r="A9" s="36" t="s">
        <v>30</v>
      </c>
      <c r="B9" s="200">
        <v>0</v>
      </c>
      <c r="C9" s="197">
        <v>0</v>
      </c>
      <c r="D9" s="88">
        <v>0</v>
      </c>
      <c r="E9" s="197">
        <f t="shared" ref="E9:E13" si="0">C9+D9</f>
        <v>0</v>
      </c>
      <c r="F9" s="57"/>
      <c r="G9" s="45">
        <v>664</v>
      </c>
      <c r="H9" s="194">
        <f>E9+G9</f>
        <v>664</v>
      </c>
      <c r="I9" s="47"/>
    </row>
    <row r="10" spans="1:20" s="6" customFormat="1" ht="18.95" customHeight="1">
      <c r="A10" s="28" t="s">
        <v>3</v>
      </c>
      <c r="B10" s="200">
        <v>0</v>
      </c>
      <c r="C10" s="195">
        <v>3165</v>
      </c>
      <c r="D10" s="88">
        <v>0</v>
      </c>
      <c r="E10" s="195">
        <f t="shared" si="0"/>
        <v>3165</v>
      </c>
      <c r="F10" s="57"/>
      <c r="G10" s="88">
        <v>0</v>
      </c>
      <c r="H10" s="194">
        <f>E10+G10</f>
        <v>3165</v>
      </c>
      <c r="I10" s="46"/>
    </row>
    <row r="11" spans="1:20" s="6" customFormat="1" ht="18.95" customHeight="1">
      <c r="A11" s="28" t="s">
        <v>4</v>
      </c>
      <c r="B11" s="200">
        <v>0</v>
      </c>
      <c r="C11" s="197">
        <v>0</v>
      </c>
      <c r="D11" s="88">
        <v>0</v>
      </c>
      <c r="E11" s="197">
        <v>0</v>
      </c>
      <c r="F11" s="57"/>
      <c r="G11" s="45">
        <v>1821</v>
      </c>
      <c r="H11" s="194">
        <f t="shared" ref="H11:H19" si="1">E11+G11</f>
        <v>1821</v>
      </c>
      <c r="I11" s="49"/>
    </row>
    <row r="12" spans="1:20" s="6" customFormat="1" ht="18.95" customHeight="1">
      <c r="A12" s="28" t="s">
        <v>5</v>
      </c>
      <c r="B12" s="200">
        <v>0</v>
      </c>
      <c r="C12" s="197">
        <v>0</v>
      </c>
      <c r="D12" s="88">
        <v>0</v>
      </c>
      <c r="E12" s="197">
        <v>0</v>
      </c>
      <c r="F12" s="57"/>
      <c r="G12" s="45">
        <v>237</v>
      </c>
      <c r="H12" s="194">
        <f t="shared" si="1"/>
        <v>237</v>
      </c>
      <c r="I12" s="49"/>
    </row>
    <row r="13" spans="1:20" s="6" customFormat="1" ht="18.95" customHeight="1">
      <c r="A13" s="28" t="s">
        <v>6</v>
      </c>
      <c r="B13" s="200">
        <v>0</v>
      </c>
      <c r="C13" s="195">
        <v>10232</v>
      </c>
      <c r="D13" s="88">
        <v>0</v>
      </c>
      <c r="E13" s="195">
        <f t="shared" si="0"/>
        <v>10232</v>
      </c>
      <c r="F13" s="57"/>
      <c r="G13" s="45">
        <v>100</v>
      </c>
      <c r="H13" s="194">
        <f t="shared" si="1"/>
        <v>10332</v>
      </c>
      <c r="I13" s="48"/>
    </row>
    <row r="14" spans="1:20" s="6" customFormat="1" ht="18.95" customHeight="1">
      <c r="A14" s="36" t="s">
        <v>7</v>
      </c>
      <c r="B14" s="200">
        <v>0</v>
      </c>
      <c r="C14" s="197">
        <v>0</v>
      </c>
      <c r="D14" s="88">
        <v>0</v>
      </c>
      <c r="E14" s="197">
        <v>0</v>
      </c>
      <c r="F14" s="57"/>
      <c r="G14" s="45">
        <v>140</v>
      </c>
      <c r="H14" s="194">
        <f t="shared" si="1"/>
        <v>140</v>
      </c>
      <c r="I14" s="49"/>
      <c r="K14" s="6" t="s">
        <v>105</v>
      </c>
    </row>
    <row r="15" spans="1:20" s="6" customFormat="1" ht="18.95" customHeight="1">
      <c r="A15" s="28" t="s">
        <v>8</v>
      </c>
      <c r="B15" s="200">
        <v>0</v>
      </c>
      <c r="C15" s="197">
        <v>0</v>
      </c>
      <c r="D15" s="88">
        <v>0</v>
      </c>
      <c r="E15" s="197">
        <v>0</v>
      </c>
      <c r="F15" s="57"/>
      <c r="G15" s="45">
        <v>658</v>
      </c>
      <c r="H15" s="194">
        <f t="shared" si="1"/>
        <v>658</v>
      </c>
      <c r="I15" s="49"/>
    </row>
    <row r="16" spans="1:20" s="6" customFormat="1" ht="18.95" customHeight="1">
      <c r="A16" s="28" t="s">
        <v>9</v>
      </c>
      <c r="B16" s="200">
        <v>0</v>
      </c>
      <c r="C16" s="197">
        <v>0</v>
      </c>
      <c r="D16" s="88">
        <v>0</v>
      </c>
      <c r="E16" s="197">
        <v>0</v>
      </c>
      <c r="F16" s="57"/>
      <c r="G16" s="45">
        <v>820</v>
      </c>
      <c r="H16" s="194">
        <f t="shared" si="1"/>
        <v>820</v>
      </c>
      <c r="I16" s="49"/>
    </row>
    <row r="17" spans="1:13" s="6" customFormat="1" ht="18.95" customHeight="1">
      <c r="A17" s="28" t="s">
        <v>10</v>
      </c>
      <c r="B17" s="200">
        <v>0</v>
      </c>
      <c r="C17" s="197">
        <v>0</v>
      </c>
      <c r="D17" s="88">
        <v>0</v>
      </c>
      <c r="E17" s="197">
        <v>0</v>
      </c>
      <c r="F17" s="57"/>
      <c r="G17" s="88">
        <v>0</v>
      </c>
      <c r="H17" s="197">
        <v>0</v>
      </c>
      <c r="I17" s="12"/>
    </row>
    <row r="18" spans="1:13" s="6" customFormat="1" ht="18.95" customHeight="1">
      <c r="A18" s="28" t="s">
        <v>11</v>
      </c>
      <c r="B18" s="200">
        <v>0</v>
      </c>
      <c r="C18" s="197">
        <v>0</v>
      </c>
      <c r="D18" s="88">
        <v>0</v>
      </c>
      <c r="E18" s="197">
        <v>0</v>
      </c>
      <c r="F18" s="57"/>
      <c r="G18" s="88">
        <v>0</v>
      </c>
      <c r="H18" s="197">
        <v>0</v>
      </c>
      <c r="I18" s="48"/>
    </row>
    <row r="19" spans="1:13" s="6" customFormat="1" ht="18.95" customHeight="1">
      <c r="A19" s="28" t="s">
        <v>12</v>
      </c>
      <c r="B19" s="200">
        <v>0</v>
      </c>
      <c r="C19" s="197">
        <v>0</v>
      </c>
      <c r="D19" s="88">
        <v>0</v>
      </c>
      <c r="E19" s="197">
        <v>0</v>
      </c>
      <c r="F19" s="57"/>
      <c r="G19" s="45">
        <v>250</v>
      </c>
      <c r="H19" s="194">
        <f t="shared" si="1"/>
        <v>250</v>
      </c>
      <c r="I19" s="49"/>
    </row>
    <row r="20" spans="1:13" s="6" customFormat="1" ht="18.95" customHeight="1" thickBot="1">
      <c r="A20" s="74" t="s">
        <v>13</v>
      </c>
      <c r="B20" s="200">
        <v>0</v>
      </c>
      <c r="C20" s="198">
        <v>0</v>
      </c>
      <c r="D20" s="89">
        <v>0</v>
      </c>
      <c r="E20" s="198">
        <v>0</v>
      </c>
      <c r="F20" s="160"/>
      <c r="G20" s="125">
        <v>200</v>
      </c>
      <c r="H20" s="202">
        <f>E20+G20</f>
        <v>200</v>
      </c>
      <c r="I20" s="49"/>
    </row>
    <row r="21" spans="1:13" s="6" customFormat="1" ht="18.95" customHeight="1" thickTop="1" thickBot="1">
      <c r="A21" s="82" t="s">
        <v>41</v>
      </c>
      <c r="B21" s="199">
        <v>638220</v>
      </c>
      <c r="C21" s="199">
        <f>SUM(C6:C20)</f>
        <v>14053</v>
      </c>
      <c r="D21" s="90">
        <v>0</v>
      </c>
      <c r="E21" s="199">
        <f>SUM(E6:E20)</f>
        <v>16368</v>
      </c>
      <c r="F21" s="86"/>
      <c r="G21" s="86">
        <f>SUM(G6:G20)</f>
        <v>8357</v>
      </c>
      <c r="H21" s="199">
        <f>B21+E21+G21</f>
        <v>662945</v>
      </c>
      <c r="I21" s="47"/>
    </row>
    <row r="22" spans="1:13" s="6" customFormat="1" ht="18.95" customHeight="1" thickTop="1" thickBot="1">
      <c r="A22" s="78" t="s">
        <v>42</v>
      </c>
      <c r="B22" s="201"/>
      <c r="C22" s="79"/>
      <c r="D22" s="79"/>
      <c r="E22" s="201"/>
      <c r="F22" s="79"/>
      <c r="G22" s="80"/>
      <c r="H22" s="81"/>
    </row>
    <row r="23" spans="1:13" s="6" customFormat="1" ht="18.95" customHeight="1" thickTop="1">
      <c r="A23" s="28" t="s">
        <v>21</v>
      </c>
      <c r="B23" s="195">
        <v>1304368</v>
      </c>
      <c r="C23" s="57" t="s">
        <v>65</v>
      </c>
      <c r="D23" s="57" t="s">
        <v>65</v>
      </c>
      <c r="E23" s="57" t="s">
        <v>65</v>
      </c>
      <c r="F23" s="44"/>
      <c r="G23" s="91">
        <v>1445</v>
      </c>
      <c r="H23" s="195">
        <f>B23+G23</f>
        <v>1305813</v>
      </c>
    </row>
    <row r="24" spans="1:13" s="6" customFormat="1" ht="18.95" customHeight="1">
      <c r="A24" s="28" t="s">
        <v>22</v>
      </c>
      <c r="B24" s="194">
        <v>1770388</v>
      </c>
      <c r="C24" s="57" t="s">
        <v>65</v>
      </c>
      <c r="D24" s="57" t="s">
        <v>65</v>
      </c>
      <c r="E24" s="57" t="s">
        <v>65</v>
      </c>
      <c r="F24" s="44"/>
      <c r="G24" s="91">
        <v>12656</v>
      </c>
      <c r="H24" s="195">
        <f>B24+G24</f>
        <v>1783044</v>
      </c>
      <c r="I24" s="47"/>
    </row>
    <row r="25" spans="1:13" s="6" customFormat="1" ht="18.95" customHeight="1" thickBot="1">
      <c r="A25" s="29" t="s">
        <v>49</v>
      </c>
      <c r="B25" s="202">
        <v>1670416</v>
      </c>
      <c r="C25" s="57" t="s">
        <v>65</v>
      </c>
      <c r="D25" s="57" t="s">
        <v>65</v>
      </c>
      <c r="E25" s="57" t="s">
        <v>65</v>
      </c>
      <c r="F25" s="46"/>
      <c r="G25" s="91">
        <v>27724</v>
      </c>
      <c r="H25" s="207">
        <f>B25+G25</f>
        <v>1698140</v>
      </c>
    </row>
    <row r="26" spans="1:13" s="6" customFormat="1" ht="18.95" customHeight="1" thickTop="1" thickBot="1">
      <c r="A26" s="82" t="s">
        <v>41</v>
      </c>
      <c r="B26" s="199">
        <f>SUM(B23:B25)</f>
        <v>4745172</v>
      </c>
      <c r="C26" s="85" t="s">
        <v>65</v>
      </c>
      <c r="D26" s="85" t="s">
        <v>65</v>
      </c>
      <c r="E26" s="85" t="s">
        <v>65</v>
      </c>
      <c r="F26" s="85"/>
      <c r="G26" s="85">
        <f>SUM(G23:G25)</f>
        <v>41825</v>
      </c>
      <c r="H26" s="199">
        <f>B26+G26</f>
        <v>4786997</v>
      </c>
      <c r="I26" s="47"/>
    </row>
    <row r="27" spans="1:13" s="6" customFormat="1" ht="18.95" customHeight="1" thickTop="1" thickBot="1">
      <c r="A27" s="115" t="s">
        <v>40</v>
      </c>
      <c r="B27" s="203">
        <f>B21+B26</f>
        <v>5383392</v>
      </c>
      <c r="C27" s="201">
        <f>C21</f>
        <v>14053</v>
      </c>
      <c r="D27" s="116">
        <v>0</v>
      </c>
      <c r="E27" s="201">
        <f>E21</f>
        <v>16368</v>
      </c>
      <c r="F27" s="81"/>
      <c r="G27" s="81">
        <f>G21+G26</f>
        <v>50182</v>
      </c>
      <c r="H27" s="203">
        <f>H21+H26</f>
        <v>5449942</v>
      </c>
      <c r="I27" s="117"/>
    </row>
    <row r="28" spans="1:13" s="6" customFormat="1" ht="18" customHeight="1" thickTop="1">
      <c r="A28" s="242" t="s">
        <v>68</v>
      </c>
      <c r="B28" s="242"/>
      <c r="C28" s="242"/>
      <c r="D28" s="242"/>
      <c r="E28" s="7"/>
      <c r="F28" s="7"/>
      <c r="G28" s="7"/>
      <c r="H28" s="48"/>
      <c r="I28" s="12"/>
      <c r="J28" s="12"/>
      <c r="K28" s="12"/>
      <c r="L28" s="12"/>
      <c r="M28" s="12"/>
    </row>
    <row r="29" spans="1:13" s="6" customFormat="1" ht="14.25" customHeight="1">
      <c r="A29" s="242" t="s">
        <v>89</v>
      </c>
      <c r="B29" s="242"/>
      <c r="C29" s="242"/>
      <c r="D29" s="242"/>
      <c r="E29" s="242"/>
      <c r="F29" s="242"/>
      <c r="G29" s="242"/>
      <c r="H29" s="242"/>
      <c r="I29" s="12"/>
      <c r="J29" s="12"/>
      <c r="K29" s="12"/>
      <c r="L29" s="12"/>
      <c r="M29" s="12"/>
    </row>
    <row r="30" spans="1:13" s="6" customFormat="1" ht="12.75" customHeight="1">
      <c r="A30" s="242" t="s">
        <v>93</v>
      </c>
      <c r="B30" s="242"/>
      <c r="C30" s="242"/>
      <c r="D30" s="242"/>
      <c r="E30" s="242"/>
      <c r="F30" s="145"/>
      <c r="G30" s="145"/>
      <c r="H30" s="178"/>
      <c r="I30" s="12"/>
      <c r="J30" s="12"/>
      <c r="K30" s="12"/>
      <c r="L30" s="12"/>
      <c r="M30" s="12"/>
    </row>
    <row r="31" spans="1:13" s="6" customFormat="1" ht="6" customHeight="1">
      <c r="A31" s="259"/>
      <c r="B31" s="259"/>
      <c r="C31" s="259"/>
      <c r="D31" s="259"/>
      <c r="E31" s="259"/>
      <c r="F31" s="259"/>
      <c r="G31" s="259"/>
      <c r="H31" s="259"/>
      <c r="I31" s="12"/>
      <c r="J31" s="12"/>
      <c r="K31" s="12"/>
      <c r="L31" s="12"/>
      <c r="M31" s="12"/>
    </row>
    <row r="32" spans="1:13" s="6" customFormat="1" ht="12.75" customHeight="1">
      <c r="A32" s="236" t="s">
        <v>83</v>
      </c>
      <c r="B32" s="236"/>
      <c r="C32" s="236"/>
      <c r="D32" s="236"/>
      <c r="E32" s="59"/>
      <c r="F32" s="59"/>
      <c r="G32" s="59"/>
      <c r="H32" s="12"/>
    </row>
    <row r="33" spans="1:13" s="6" customFormat="1" ht="3" customHeight="1">
      <c r="A33" s="139"/>
      <c r="B33" s="139"/>
      <c r="C33" s="139"/>
      <c r="D33" s="139"/>
      <c r="E33" s="59"/>
      <c r="F33" s="59"/>
      <c r="G33" s="59"/>
      <c r="H33" s="12"/>
    </row>
    <row r="34" spans="1:13" s="19" customFormat="1" ht="14.25" customHeight="1">
      <c r="A34" s="237" t="s">
        <v>51</v>
      </c>
      <c r="B34" s="237"/>
      <c r="C34" s="237"/>
      <c r="D34" s="249">
        <v>102</v>
      </c>
      <c r="E34" s="249"/>
      <c r="F34" s="249"/>
      <c r="G34" s="249"/>
      <c r="H34" s="249"/>
      <c r="I34" s="26"/>
      <c r="J34" s="26"/>
      <c r="K34" s="26"/>
      <c r="L34" s="26"/>
      <c r="M34" s="1"/>
    </row>
    <row r="47" spans="1:13">
      <c r="G47" s="21"/>
    </row>
  </sheetData>
  <mergeCells count="15">
    <mergeCell ref="A34:C34"/>
    <mergeCell ref="D34:H34"/>
    <mergeCell ref="A1:H1"/>
    <mergeCell ref="A3:A5"/>
    <mergeCell ref="B3:B5"/>
    <mergeCell ref="C4:E4"/>
    <mergeCell ref="A28:D28"/>
    <mergeCell ref="C3:G3"/>
    <mergeCell ref="H3:H5"/>
    <mergeCell ref="C2:D2"/>
    <mergeCell ref="G4:G5"/>
    <mergeCell ref="A32:D32"/>
    <mergeCell ref="A31:H31"/>
    <mergeCell ref="A29:H29"/>
    <mergeCell ref="A30:E30"/>
  </mergeCells>
  <phoneticPr fontId="6" type="noConversion"/>
  <printOptions horizontalCentered="1"/>
  <pageMargins left="0.74803149606299213" right="0.74803149606299213" top="0.39370078740157483" bottom="0.15748031496062992" header="0" footer="0"/>
  <pageSetup paperSize="9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7434"/>
  </sheetPr>
  <dimension ref="A1:J25"/>
  <sheetViews>
    <sheetView rightToLeft="1" view="pageBreakPreview" zoomScaleSheetLayoutView="100" workbookViewId="0">
      <selection activeCell="H5" sqref="H5"/>
    </sheetView>
  </sheetViews>
  <sheetFormatPr defaultRowHeight="12.75"/>
  <cols>
    <col min="1" max="1" width="13.5703125" style="71" customWidth="1"/>
    <col min="2" max="2" width="22.7109375" style="71" customWidth="1"/>
    <col min="3" max="3" width="22.5703125" style="71" customWidth="1"/>
    <col min="4" max="4" width="21.5703125" style="71" customWidth="1"/>
    <col min="5" max="5" width="26.42578125" style="71" customWidth="1"/>
    <col min="6" max="16384" width="9.140625" style="71"/>
  </cols>
  <sheetData>
    <row r="1" spans="1:10" ht="26.25" customHeight="1">
      <c r="A1" s="250" t="s">
        <v>126</v>
      </c>
      <c r="B1" s="250"/>
      <c r="C1" s="250"/>
      <c r="D1" s="250"/>
      <c r="E1" s="250"/>
    </row>
    <row r="2" spans="1:10" ht="21" customHeight="1" thickBot="1">
      <c r="A2" s="58" t="s">
        <v>47</v>
      </c>
      <c r="B2" s="151"/>
      <c r="C2" s="151"/>
      <c r="D2" s="151"/>
      <c r="E2" s="151"/>
    </row>
    <row r="3" spans="1:10" ht="18" customHeight="1" thickTop="1">
      <c r="A3" s="243" t="s">
        <v>96</v>
      </c>
      <c r="B3" s="260" t="s">
        <v>97</v>
      </c>
      <c r="C3" s="260" t="s">
        <v>98</v>
      </c>
      <c r="D3" s="260" t="s">
        <v>99</v>
      </c>
      <c r="E3" s="260" t="s">
        <v>122</v>
      </c>
    </row>
    <row r="4" spans="1:10" ht="15.75" customHeight="1">
      <c r="A4" s="251"/>
      <c r="B4" s="261"/>
      <c r="C4" s="261"/>
      <c r="D4" s="261"/>
      <c r="E4" s="261"/>
    </row>
    <row r="5" spans="1:10" ht="27" customHeight="1">
      <c r="A5" s="251"/>
      <c r="B5" s="262"/>
      <c r="C5" s="262"/>
      <c r="D5" s="262"/>
      <c r="E5" s="262"/>
    </row>
    <row r="6" spans="1:10" s="6" customFormat="1" ht="30" customHeight="1">
      <c r="A6" s="154">
        <v>2011</v>
      </c>
      <c r="B6" s="153">
        <v>5521156</v>
      </c>
      <c r="C6" s="153">
        <f>B6/4</f>
        <v>1380289</v>
      </c>
      <c r="D6" s="153">
        <f>C6/100</f>
        <v>13802.89</v>
      </c>
      <c r="E6" s="156">
        <f>D6/434128*100</f>
        <v>3.1794516824531014</v>
      </c>
    </row>
    <row r="7" spans="1:10" s="6" customFormat="1" ht="30" customHeight="1">
      <c r="A7" s="155">
        <v>2012</v>
      </c>
      <c r="B7" s="152">
        <v>5460881</v>
      </c>
      <c r="C7" s="152">
        <f t="shared" ref="C7:C12" si="0">B7/4</f>
        <v>1365220.25</v>
      </c>
      <c r="D7" s="152">
        <f t="shared" ref="D7:D12" si="1">C7/100</f>
        <v>13652.202499999999</v>
      </c>
      <c r="E7" s="158">
        <f t="shared" ref="E7:E12" si="2">D7/434128*100</f>
        <v>3.1447412974975122</v>
      </c>
      <c r="F7" s="58"/>
      <c r="G7" s="58"/>
      <c r="H7" s="58"/>
      <c r="I7" s="58"/>
      <c r="J7" s="58"/>
    </row>
    <row r="8" spans="1:10" s="6" customFormat="1" ht="30" customHeight="1">
      <c r="A8" s="155">
        <v>2013</v>
      </c>
      <c r="B8" s="152">
        <v>5462011</v>
      </c>
      <c r="C8" s="225">
        <f t="shared" si="0"/>
        <v>1365502.75</v>
      </c>
      <c r="D8" s="152">
        <f t="shared" si="1"/>
        <v>13655.0275</v>
      </c>
      <c r="E8" s="158">
        <f t="shared" si="2"/>
        <v>3.1453920272362068</v>
      </c>
    </row>
    <row r="9" spans="1:10" s="6" customFormat="1" ht="30" customHeight="1">
      <c r="A9" s="155">
        <v>2014</v>
      </c>
      <c r="B9" s="152">
        <v>5462011</v>
      </c>
      <c r="C9" s="152">
        <f t="shared" si="0"/>
        <v>1365502.75</v>
      </c>
      <c r="D9" s="152">
        <f t="shared" si="1"/>
        <v>13655.0275</v>
      </c>
      <c r="E9" s="158">
        <f t="shared" si="2"/>
        <v>3.1453920272362068</v>
      </c>
    </row>
    <row r="10" spans="1:10" s="6" customFormat="1" ht="30" customHeight="1">
      <c r="A10" s="155">
        <v>2015</v>
      </c>
      <c r="B10" s="152">
        <v>5408287</v>
      </c>
      <c r="C10" s="152">
        <f t="shared" si="0"/>
        <v>1352071.75</v>
      </c>
      <c r="D10" s="152">
        <f t="shared" si="1"/>
        <v>13520.717500000001</v>
      </c>
      <c r="E10" s="158">
        <f t="shared" si="2"/>
        <v>3.1144541471639702</v>
      </c>
    </row>
    <row r="11" spans="1:10" s="6" customFormat="1" ht="30" customHeight="1">
      <c r="A11" s="155">
        <v>2016</v>
      </c>
      <c r="B11" s="152">
        <v>5450112</v>
      </c>
      <c r="C11" s="46">
        <f t="shared" si="0"/>
        <v>1362528</v>
      </c>
      <c r="D11" s="46">
        <f t="shared" si="1"/>
        <v>13625.28</v>
      </c>
      <c r="E11" s="157">
        <f t="shared" si="2"/>
        <v>3.1385397855010502</v>
      </c>
    </row>
    <row r="12" spans="1:10" s="6" customFormat="1" ht="30" customHeight="1" thickBot="1">
      <c r="A12" s="209">
        <v>2017</v>
      </c>
      <c r="B12" s="210">
        <v>5449942</v>
      </c>
      <c r="C12" s="210">
        <f t="shared" si="0"/>
        <v>1362485.5</v>
      </c>
      <c r="D12" s="210">
        <f t="shared" si="1"/>
        <v>13624.855</v>
      </c>
      <c r="E12" s="211">
        <f t="shared" si="2"/>
        <v>3.1384418881067333</v>
      </c>
    </row>
    <row r="13" spans="1:10" s="6" customFormat="1" ht="13.5" customHeight="1" thickTop="1">
      <c r="A13" s="212"/>
      <c r="B13" s="46"/>
      <c r="C13" s="46"/>
      <c r="D13" s="46"/>
      <c r="E13" s="157"/>
    </row>
    <row r="14" spans="1:10" s="6" customFormat="1" ht="18" customHeight="1">
      <c r="A14" s="242" t="s">
        <v>127</v>
      </c>
      <c r="B14" s="242"/>
      <c r="C14" s="242"/>
      <c r="D14" s="242"/>
      <c r="E14" s="242"/>
    </row>
    <row r="15" spans="1:10" s="6" customFormat="1" ht="21.75" customHeight="1">
      <c r="A15" s="242" t="s">
        <v>113</v>
      </c>
      <c r="B15" s="242"/>
      <c r="C15" s="242"/>
      <c r="D15" s="242"/>
      <c r="E15" s="242"/>
    </row>
    <row r="16" spans="1:10" s="6" customFormat="1" ht="18" customHeight="1">
      <c r="A16" s="242" t="s">
        <v>112</v>
      </c>
      <c r="B16" s="242"/>
      <c r="C16" s="242"/>
      <c r="D16" s="242"/>
      <c r="E16" s="176"/>
    </row>
    <row r="17" spans="1:5" s="6" customFormat="1" ht="18" customHeight="1">
      <c r="A17" s="191"/>
      <c r="B17" s="191"/>
      <c r="C17" s="191"/>
      <c r="D17" s="191"/>
      <c r="E17" s="176"/>
    </row>
    <row r="18" spans="1:5" s="6" customFormat="1" ht="18" customHeight="1">
      <c r="A18" s="191"/>
      <c r="B18" s="191"/>
      <c r="C18" s="191"/>
      <c r="D18" s="191"/>
      <c r="E18" s="176"/>
    </row>
    <row r="19" spans="1:5" s="6" customFormat="1" ht="18" customHeight="1">
      <c r="A19" s="191"/>
      <c r="B19" s="191"/>
      <c r="C19" s="191"/>
      <c r="D19" s="191"/>
      <c r="E19" s="176"/>
    </row>
    <row r="20" spans="1:5" s="6" customFormat="1" ht="18" customHeight="1">
      <c r="A20" s="191"/>
      <c r="B20" s="191"/>
      <c r="C20" s="191"/>
      <c r="D20" s="191"/>
      <c r="E20" s="176"/>
    </row>
    <row r="21" spans="1:5" s="6" customFormat="1" ht="18" customHeight="1">
      <c r="A21" s="191"/>
      <c r="B21" s="191"/>
      <c r="C21" s="191"/>
      <c r="D21" s="191"/>
      <c r="E21" s="176"/>
    </row>
    <row r="22" spans="1:5" s="6" customFormat="1" ht="18" customHeight="1">
      <c r="A22" s="191"/>
      <c r="B22" s="191"/>
      <c r="C22" s="191"/>
      <c r="D22" s="191"/>
      <c r="E22" s="176"/>
    </row>
    <row r="23" spans="1:5" s="6" customFormat="1" ht="21.75" customHeight="1">
      <c r="A23" s="259"/>
      <c r="B23" s="259"/>
      <c r="C23" s="259"/>
      <c r="D23" s="259"/>
      <c r="E23" s="259"/>
    </row>
    <row r="24" spans="1:5" s="6" customFormat="1" ht="12.75" customHeight="1">
      <c r="A24" s="236"/>
      <c r="B24" s="236"/>
      <c r="C24" s="236"/>
      <c r="D24" s="236"/>
      <c r="E24" s="236"/>
    </row>
    <row r="25" spans="1:5" ht="21.75" customHeight="1">
      <c r="A25" s="237" t="s">
        <v>51</v>
      </c>
      <c r="B25" s="237"/>
      <c r="C25" s="237"/>
      <c r="D25" s="61">
        <v>103</v>
      </c>
      <c r="E25" s="61"/>
    </row>
  </sheetData>
  <mergeCells count="12">
    <mergeCell ref="A25:C25"/>
    <mergeCell ref="A24:E24"/>
    <mergeCell ref="A1:E1"/>
    <mergeCell ref="A3:A5"/>
    <mergeCell ref="B3:B5"/>
    <mergeCell ref="C3:C5"/>
    <mergeCell ref="D3:D5"/>
    <mergeCell ref="E3:E5"/>
    <mergeCell ref="A14:E14"/>
    <mergeCell ref="A15:E15"/>
    <mergeCell ref="A23:E23"/>
    <mergeCell ref="A16:D16"/>
  </mergeCells>
  <printOptions horizontalCentered="1"/>
  <pageMargins left="0.74803149606299213" right="0.74803149606299213" top="0.59055118110236227" bottom="0.55118110236220474" header="0" footer="0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7434"/>
  </sheetPr>
  <dimension ref="A1:I26"/>
  <sheetViews>
    <sheetView rightToLeft="1" view="pageBreakPreview" zoomScaleSheetLayoutView="100" workbookViewId="0">
      <selection activeCell="B1" sqref="B1:G1"/>
    </sheetView>
  </sheetViews>
  <sheetFormatPr defaultRowHeight="12.75"/>
  <cols>
    <col min="1" max="1" width="1" style="72" customWidth="1"/>
    <col min="2" max="2" width="16.28515625" customWidth="1"/>
    <col min="3" max="3" width="15.7109375" style="71" customWidth="1"/>
    <col min="4" max="4" width="15.7109375" style="56" customWidth="1"/>
    <col min="5" max="5" width="15.7109375" style="17" customWidth="1"/>
    <col min="6" max="7" width="15.7109375" customWidth="1"/>
  </cols>
  <sheetData>
    <row r="1" spans="1:9" ht="28.5" customHeight="1">
      <c r="B1" s="263" t="s">
        <v>109</v>
      </c>
      <c r="C1" s="263"/>
      <c r="D1" s="263"/>
      <c r="E1" s="263"/>
      <c r="F1" s="263"/>
      <c r="G1" s="263"/>
    </row>
    <row r="2" spans="1:9" s="18" customFormat="1" ht="20.25" customHeight="1" thickBot="1">
      <c r="A2" s="72"/>
      <c r="B2" s="64" t="s">
        <v>36</v>
      </c>
      <c r="C2" s="265"/>
      <c r="D2" s="265"/>
      <c r="E2" s="265"/>
      <c r="G2" s="213" t="s">
        <v>38</v>
      </c>
    </row>
    <row r="3" spans="1:9" ht="34.5" customHeight="1" thickTop="1">
      <c r="B3" s="109" t="s">
        <v>14</v>
      </c>
      <c r="C3" s="110" t="s">
        <v>60</v>
      </c>
      <c r="D3" s="110" t="s">
        <v>55</v>
      </c>
      <c r="E3" s="110" t="s">
        <v>57</v>
      </c>
      <c r="F3" s="110" t="s">
        <v>56</v>
      </c>
      <c r="G3" s="110" t="s">
        <v>0</v>
      </c>
      <c r="H3" t="s">
        <v>14</v>
      </c>
    </row>
    <row r="4" spans="1:9" s="37" customFormat="1" ht="24.95" customHeight="1">
      <c r="A4" s="72"/>
      <c r="B4" s="65" t="s">
        <v>15</v>
      </c>
      <c r="C4" s="93">
        <v>31972.7</v>
      </c>
      <c r="D4" s="93">
        <v>2862.6</v>
      </c>
      <c r="E4" s="133">
        <v>0</v>
      </c>
      <c r="F4" s="133">
        <v>0</v>
      </c>
      <c r="G4" s="93">
        <f>SUM(C4:F4)</f>
        <v>34835.300000000003</v>
      </c>
      <c r="H4" s="72" t="s">
        <v>15</v>
      </c>
      <c r="I4" s="187">
        <v>34.835300000000004</v>
      </c>
    </row>
    <row r="5" spans="1:9" s="50" customFormat="1" ht="24.95" customHeight="1">
      <c r="A5" s="73"/>
      <c r="B5" s="66" t="s">
        <v>1</v>
      </c>
      <c r="C5" s="93">
        <v>13998.5</v>
      </c>
      <c r="D5" s="93">
        <v>11471.1</v>
      </c>
      <c r="E5" s="133">
        <v>0</v>
      </c>
      <c r="F5" s="133">
        <v>0</v>
      </c>
      <c r="G5" s="94">
        <f>SUM(C5:F5)</f>
        <v>25469.599999999999</v>
      </c>
      <c r="H5" s="73" t="s">
        <v>1</v>
      </c>
      <c r="I5" s="187">
        <v>25.4696</v>
      </c>
    </row>
    <row r="6" spans="1:9" s="37" customFormat="1" ht="24.95" customHeight="1">
      <c r="A6" s="72"/>
      <c r="B6" s="66" t="s">
        <v>2</v>
      </c>
      <c r="C6" s="93">
        <v>24817.3</v>
      </c>
      <c r="D6" s="93">
        <v>14644.2</v>
      </c>
      <c r="E6" s="133">
        <v>0</v>
      </c>
      <c r="F6" s="133">
        <v>0</v>
      </c>
      <c r="G6" s="94">
        <f>SUM(C6:F6)</f>
        <v>39461.5</v>
      </c>
      <c r="H6" s="72" t="s">
        <v>2</v>
      </c>
      <c r="I6" s="187">
        <v>39.461500000000001</v>
      </c>
    </row>
    <row r="7" spans="1:9" s="37" customFormat="1" ht="24.95" customHeight="1">
      <c r="A7" s="72"/>
      <c r="B7" s="66" t="s">
        <v>30</v>
      </c>
      <c r="C7" s="93">
        <v>21722.1</v>
      </c>
      <c r="D7" s="93">
        <v>5905.3</v>
      </c>
      <c r="E7" s="133">
        <v>0</v>
      </c>
      <c r="F7" s="133">
        <v>0</v>
      </c>
      <c r="G7" s="93">
        <f>SUM(C7:F7)</f>
        <v>27627.399999999998</v>
      </c>
      <c r="H7" s="72" t="s">
        <v>30</v>
      </c>
      <c r="I7" s="187">
        <v>27.627399999999998</v>
      </c>
    </row>
    <row r="8" spans="1:9" s="37" customFormat="1" ht="24.95" customHeight="1">
      <c r="A8" s="72"/>
      <c r="B8" s="66" t="s">
        <v>3</v>
      </c>
      <c r="C8" s="93">
        <v>24419.5</v>
      </c>
      <c r="D8" s="93">
        <v>7645.7</v>
      </c>
      <c r="E8" s="133">
        <v>0</v>
      </c>
      <c r="F8" s="133">
        <v>0</v>
      </c>
      <c r="G8" s="94">
        <f t="shared" ref="G8:G18" si="0">SUM(C8:F8)</f>
        <v>32065.200000000001</v>
      </c>
      <c r="H8" s="72" t="s">
        <v>3</v>
      </c>
      <c r="I8" s="187">
        <v>32.065199999999997</v>
      </c>
    </row>
    <row r="9" spans="1:9" s="37" customFormat="1" ht="24.95" customHeight="1">
      <c r="A9" s="72"/>
      <c r="B9" s="66" t="s">
        <v>4</v>
      </c>
      <c r="C9" s="93">
        <v>22738.3</v>
      </c>
      <c r="D9" s="93">
        <v>10238.799999999999</v>
      </c>
      <c r="E9" s="133">
        <v>0</v>
      </c>
      <c r="F9" s="133">
        <v>0</v>
      </c>
      <c r="G9" s="94">
        <f t="shared" si="0"/>
        <v>32977.1</v>
      </c>
      <c r="H9" s="72" t="s">
        <v>4</v>
      </c>
      <c r="I9" s="187">
        <v>32.9771</v>
      </c>
    </row>
    <row r="10" spans="1:9" s="37" customFormat="1" ht="24.95" customHeight="1">
      <c r="A10" s="72"/>
      <c r="B10" s="66" t="s">
        <v>5</v>
      </c>
      <c r="C10" s="93">
        <v>4409.7</v>
      </c>
      <c r="D10" s="93">
        <v>2794.9</v>
      </c>
      <c r="E10" s="133">
        <v>0</v>
      </c>
      <c r="F10" s="133">
        <v>0</v>
      </c>
      <c r="G10" s="94">
        <f t="shared" si="0"/>
        <v>7204.6</v>
      </c>
      <c r="H10" s="72" t="s">
        <v>5</v>
      </c>
      <c r="I10" s="187">
        <v>7.2046000000000001</v>
      </c>
    </row>
    <row r="11" spans="1:9" s="37" customFormat="1" ht="24.95" customHeight="1">
      <c r="A11" s="72"/>
      <c r="B11" s="66" t="s">
        <v>6</v>
      </c>
      <c r="C11" s="93">
        <v>63605.999000000003</v>
      </c>
      <c r="D11" s="93">
        <v>22906.3</v>
      </c>
      <c r="E11" s="133">
        <v>0</v>
      </c>
      <c r="F11" s="133">
        <v>0</v>
      </c>
      <c r="G11" s="94">
        <f t="shared" si="0"/>
        <v>86512.298999999999</v>
      </c>
      <c r="H11" s="72" t="s">
        <v>6</v>
      </c>
      <c r="I11" s="187">
        <v>86.512298999999999</v>
      </c>
    </row>
    <row r="12" spans="1:9" s="37" customFormat="1" ht="24.95" customHeight="1">
      <c r="A12" s="72"/>
      <c r="B12" s="66" t="s">
        <v>7</v>
      </c>
      <c r="C12" s="93">
        <v>11030.9</v>
      </c>
      <c r="D12" s="93">
        <v>16201.8</v>
      </c>
      <c r="E12" s="133">
        <v>0</v>
      </c>
      <c r="F12" s="133">
        <v>0</v>
      </c>
      <c r="G12" s="94">
        <f t="shared" si="0"/>
        <v>27232.699999999997</v>
      </c>
      <c r="H12" s="72" t="s">
        <v>7</v>
      </c>
      <c r="I12" s="187">
        <v>27.232699999999998</v>
      </c>
    </row>
    <row r="13" spans="1:9" s="37" customFormat="1" ht="24.95" customHeight="1">
      <c r="A13" s="72"/>
      <c r="B13" s="66" t="s">
        <v>8</v>
      </c>
      <c r="C13" s="93">
        <v>20331.900000000001</v>
      </c>
      <c r="D13" s="93">
        <v>11904.4</v>
      </c>
      <c r="E13" s="133">
        <v>0</v>
      </c>
      <c r="F13" s="133">
        <v>0</v>
      </c>
      <c r="G13" s="94">
        <f t="shared" si="0"/>
        <v>32236.300000000003</v>
      </c>
      <c r="H13" s="72" t="s">
        <v>8</v>
      </c>
      <c r="I13" s="187">
        <v>32.2363</v>
      </c>
    </row>
    <row r="14" spans="1:9" s="37" customFormat="1" ht="24.95" customHeight="1">
      <c r="A14" s="72"/>
      <c r="B14" s="66" t="s">
        <v>9</v>
      </c>
      <c r="C14" s="93">
        <v>38157.4</v>
      </c>
      <c r="D14" s="93">
        <v>17173.7</v>
      </c>
      <c r="E14" s="133">
        <v>0</v>
      </c>
      <c r="F14" s="133">
        <v>0</v>
      </c>
      <c r="G14" s="94">
        <f>SUM(C14:F14)</f>
        <v>55331.100000000006</v>
      </c>
      <c r="H14" s="72" t="s">
        <v>9</v>
      </c>
      <c r="I14" s="187">
        <v>55.331100000000006</v>
      </c>
    </row>
    <row r="15" spans="1:9" ht="24.95" customHeight="1">
      <c r="B15" s="66" t="s">
        <v>10</v>
      </c>
      <c r="C15" s="93">
        <v>11206.5</v>
      </c>
      <c r="D15" s="93">
        <v>4723.1000000000004</v>
      </c>
      <c r="E15" s="133">
        <v>0</v>
      </c>
      <c r="F15" s="133">
        <v>0</v>
      </c>
      <c r="G15" s="94">
        <f t="shared" si="0"/>
        <v>15929.6</v>
      </c>
      <c r="H15" s="72" t="s">
        <v>10</v>
      </c>
      <c r="I15" s="187">
        <v>15.929600000000001</v>
      </c>
    </row>
    <row r="16" spans="1:9" s="37" customFormat="1" ht="24.95" customHeight="1">
      <c r="A16" s="72"/>
      <c r="B16" s="66" t="s">
        <v>11</v>
      </c>
      <c r="C16" s="93">
        <v>18109.400000000001</v>
      </c>
      <c r="D16" s="93">
        <v>5090.7</v>
      </c>
      <c r="E16" s="133">
        <v>0</v>
      </c>
      <c r="F16" s="133">
        <v>0</v>
      </c>
      <c r="G16" s="94">
        <f t="shared" si="0"/>
        <v>23200.100000000002</v>
      </c>
      <c r="H16" s="72" t="s">
        <v>11</v>
      </c>
      <c r="I16" s="187">
        <v>23.200100000000003</v>
      </c>
    </row>
    <row r="17" spans="1:9" s="37" customFormat="1" ht="24.95" customHeight="1">
      <c r="A17" s="72"/>
      <c r="B17" s="66" t="s">
        <v>12</v>
      </c>
      <c r="C17" s="93">
        <v>29171.4</v>
      </c>
      <c r="D17" s="93">
        <v>7865.2</v>
      </c>
      <c r="E17" s="133">
        <v>0</v>
      </c>
      <c r="F17" s="133">
        <v>0</v>
      </c>
      <c r="G17" s="94">
        <f t="shared" si="0"/>
        <v>37036.6</v>
      </c>
      <c r="H17" s="72" t="s">
        <v>12</v>
      </c>
      <c r="I17" s="187">
        <v>37.0366</v>
      </c>
    </row>
    <row r="18" spans="1:9" s="50" customFormat="1" ht="24.95" customHeight="1" thickBot="1">
      <c r="A18" s="73"/>
      <c r="B18" s="84" t="s">
        <v>13</v>
      </c>
      <c r="C18" s="95">
        <v>1980.6</v>
      </c>
      <c r="D18" s="95">
        <v>842.5</v>
      </c>
      <c r="E18" s="133">
        <v>0</v>
      </c>
      <c r="F18" s="133">
        <v>0</v>
      </c>
      <c r="G18" s="96">
        <f t="shared" si="0"/>
        <v>2823.1</v>
      </c>
      <c r="H18" s="73" t="s">
        <v>13</v>
      </c>
      <c r="I18" s="187">
        <v>2.8230999999999997</v>
      </c>
    </row>
    <row r="19" spans="1:9" s="37" customFormat="1" ht="24.95" customHeight="1" thickTop="1" thickBot="1">
      <c r="A19" s="72"/>
      <c r="B19" s="78" t="s">
        <v>41</v>
      </c>
      <c r="C19" s="174">
        <f>SUM(C4:C18)</f>
        <v>337672.19900000002</v>
      </c>
      <c r="D19" s="174">
        <f>SUM(D4:D18)</f>
        <v>142270.30000000002</v>
      </c>
      <c r="E19" s="184">
        <v>0</v>
      </c>
      <c r="F19" s="184">
        <v>0</v>
      </c>
      <c r="G19" s="174">
        <f>SUM(G4:G18)</f>
        <v>479942.49899999995</v>
      </c>
      <c r="H19" s="72" t="s">
        <v>41</v>
      </c>
      <c r="I19" s="187">
        <v>479.94249899999994</v>
      </c>
    </row>
    <row r="20" spans="1:9" s="71" customFormat="1" ht="7.5" customHeight="1" thickTop="1">
      <c r="A20" s="72"/>
      <c r="B20" s="142"/>
      <c r="C20" s="142"/>
      <c r="D20" s="142"/>
      <c r="E20" s="142"/>
      <c r="F20" s="142"/>
      <c r="G20" s="142"/>
      <c r="I20" s="16"/>
    </row>
    <row r="21" spans="1:9" s="31" customFormat="1" ht="18" customHeight="1">
      <c r="A21" s="72"/>
      <c r="B21" s="236" t="s">
        <v>92</v>
      </c>
      <c r="C21" s="236"/>
      <c r="D21" s="236"/>
      <c r="E21" s="236"/>
    </row>
    <row r="22" spans="1:9" s="71" customFormat="1" ht="8.25" customHeight="1">
      <c r="A22" s="72"/>
      <c r="B22" s="190"/>
      <c r="C22" s="190"/>
      <c r="D22" s="190"/>
      <c r="E22" s="190"/>
    </row>
    <row r="23" spans="1:9" s="71" customFormat="1" ht="13.5" customHeight="1">
      <c r="A23" s="72"/>
      <c r="B23" s="190"/>
      <c r="C23" s="190"/>
      <c r="D23" s="190"/>
      <c r="E23" s="190"/>
    </row>
    <row r="24" spans="1:9" s="71" customFormat="1" ht="27" customHeight="1">
      <c r="A24" s="72"/>
      <c r="B24" s="190"/>
      <c r="C24" s="190"/>
      <c r="D24" s="190"/>
      <c r="E24" s="190"/>
    </row>
    <row r="25" spans="1:9" s="71" customFormat="1" ht="16.5" customHeight="1">
      <c r="A25" s="72"/>
      <c r="B25" s="190"/>
      <c r="C25" s="190"/>
      <c r="D25" s="190"/>
      <c r="E25" s="190"/>
    </row>
    <row r="26" spans="1:9" s="19" customFormat="1" ht="21" customHeight="1">
      <c r="A26" s="72"/>
      <c r="B26" s="237" t="s">
        <v>51</v>
      </c>
      <c r="C26" s="237"/>
      <c r="D26" s="237"/>
      <c r="E26" s="237"/>
      <c r="F26" s="264">
        <v>104</v>
      </c>
      <c r="G26" s="264"/>
    </row>
  </sheetData>
  <mergeCells count="5">
    <mergeCell ref="B1:G1"/>
    <mergeCell ref="F26:G26"/>
    <mergeCell ref="B26:E26"/>
    <mergeCell ref="C2:E2"/>
    <mergeCell ref="B21:E21"/>
  </mergeCells>
  <phoneticPr fontId="0" type="noConversion"/>
  <printOptions horizontalCentered="1" verticalCentered="1"/>
  <pageMargins left="1.5354330708661419" right="1.5748031496062993" top="0.39370078740157483" bottom="0.19685039370078741" header="0" footer="0"/>
  <pageSetup paperSize="9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T25"/>
  <sheetViews>
    <sheetView rightToLeft="1" view="pageBreakPreview" zoomScaleSheetLayoutView="100" workbookViewId="0">
      <selection activeCell="A28" sqref="A28"/>
    </sheetView>
  </sheetViews>
  <sheetFormatPr defaultRowHeight="12.75"/>
  <cols>
    <col min="1" max="1" width="11.140625" style="71" customWidth="1"/>
    <col min="2" max="2" width="8.7109375" style="71" customWidth="1"/>
    <col min="3" max="3" width="10.28515625" style="71" customWidth="1"/>
    <col min="4" max="4" width="0.85546875" style="71" customWidth="1"/>
    <col min="5" max="5" width="8.85546875" style="71" customWidth="1"/>
    <col min="6" max="6" width="8.5703125" style="71" customWidth="1"/>
    <col min="7" max="7" width="0.85546875" style="71" customWidth="1"/>
    <col min="8" max="8" width="9.7109375" style="71" customWidth="1"/>
    <col min="9" max="9" width="7.7109375" style="71" customWidth="1"/>
    <col min="10" max="10" width="0.85546875" style="71" customWidth="1"/>
    <col min="11" max="11" width="9.7109375" style="71" customWidth="1"/>
    <col min="12" max="12" width="7.5703125" style="71" customWidth="1"/>
    <col min="13" max="13" width="0.85546875" style="71" customWidth="1"/>
    <col min="14" max="15" width="10.7109375" style="71" customWidth="1"/>
    <col min="16" max="16" width="0.85546875" style="71" customWidth="1"/>
    <col min="17" max="18" width="11.7109375" style="71" customWidth="1"/>
    <col min="19" max="16384" width="9.140625" style="71"/>
  </cols>
  <sheetData>
    <row r="1" spans="1:20" ht="20.25" customHeight="1">
      <c r="A1" s="250" t="s">
        <v>107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</row>
    <row r="2" spans="1:20" ht="18" customHeight="1" thickBot="1">
      <c r="A2" s="67" t="s">
        <v>48</v>
      </c>
      <c r="B2" s="68"/>
      <c r="C2" s="68"/>
      <c r="D2" s="68"/>
      <c r="E2" s="68"/>
      <c r="F2" s="269"/>
      <c r="G2" s="269"/>
      <c r="H2" s="269"/>
      <c r="I2" s="269"/>
      <c r="J2" s="269"/>
      <c r="K2" s="269"/>
      <c r="L2" s="269"/>
      <c r="M2" s="68"/>
      <c r="N2" s="68"/>
      <c r="O2" s="68"/>
    </row>
    <row r="3" spans="1:20" ht="23.25" customHeight="1" thickTop="1">
      <c r="A3" s="267" t="s">
        <v>14</v>
      </c>
      <c r="B3" s="266" t="s">
        <v>61</v>
      </c>
      <c r="C3" s="266"/>
      <c r="D3" s="113"/>
      <c r="E3" s="266" t="s">
        <v>62</v>
      </c>
      <c r="F3" s="266"/>
      <c r="G3" s="113"/>
      <c r="H3" s="266" t="s">
        <v>66</v>
      </c>
      <c r="I3" s="266"/>
      <c r="J3" s="113"/>
      <c r="K3" s="266" t="s">
        <v>67</v>
      </c>
      <c r="L3" s="266"/>
      <c r="M3" s="113"/>
      <c r="N3" s="266" t="s">
        <v>63</v>
      </c>
      <c r="O3" s="266"/>
      <c r="P3" s="113"/>
      <c r="Q3" s="266" t="s">
        <v>0</v>
      </c>
      <c r="R3" s="266"/>
    </row>
    <row r="4" spans="1:20" ht="21" customHeight="1">
      <c r="A4" s="268"/>
      <c r="B4" s="77" t="s">
        <v>114</v>
      </c>
      <c r="C4" s="77" t="s">
        <v>115</v>
      </c>
      <c r="D4" s="140"/>
      <c r="E4" s="77" t="s">
        <v>114</v>
      </c>
      <c r="F4" s="77" t="s">
        <v>115</v>
      </c>
      <c r="G4" s="140"/>
      <c r="H4" s="77" t="s">
        <v>114</v>
      </c>
      <c r="I4" s="77" t="s">
        <v>115</v>
      </c>
      <c r="J4" s="140"/>
      <c r="K4" s="77" t="s">
        <v>114</v>
      </c>
      <c r="L4" s="77" t="s">
        <v>115</v>
      </c>
      <c r="M4" s="140"/>
      <c r="N4" s="77" t="s">
        <v>114</v>
      </c>
      <c r="O4" s="77" t="s">
        <v>115</v>
      </c>
      <c r="P4" s="140"/>
      <c r="Q4" s="77" t="s">
        <v>114</v>
      </c>
      <c r="R4" s="77" t="s">
        <v>115</v>
      </c>
    </row>
    <row r="5" spans="1:20" s="72" customFormat="1" ht="23.1" customHeight="1">
      <c r="A5" s="38" t="s">
        <v>15</v>
      </c>
      <c r="B5" s="214">
        <v>0</v>
      </c>
      <c r="C5" s="214">
        <v>374</v>
      </c>
      <c r="D5" s="214"/>
      <c r="E5" s="214">
        <v>0</v>
      </c>
      <c r="F5" s="214">
        <v>0</v>
      </c>
      <c r="G5" s="214"/>
      <c r="H5" s="214">
        <v>0</v>
      </c>
      <c r="I5" s="214">
        <v>0</v>
      </c>
      <c r="J5" s="214">
        <v>0</v>
      </c>
      <c r="K5" s="214">
        <v>600</v>
      </c>
      <c r="L5" s="214">
        <v>0</v>
      </c>
      <c r="M5" s="214"/>
      <c r="N5" s="214">
        <f>4293+825</f>
        <v>5118</v>
      </c>
      <c r="O5" s="214">
        <f>3917+5237+5641</f>
        <v>14795</v>
      </c>
      <c r="P5" s="214"/>
      <c r="Q5" s="214">
        <f>B5+E5+H5+K5+N5</f>
        <v>5718</v>
      </c>
      <c r="R5" s="214">
        <f>C5+F5+I5+L5+O5</f>
        <v>15169</v>
      </c>
      <c r="S5" s="58"/>
      <c r="T5" s="58"/>
    </row>
    <row r="6" spans="1:20" s="72" customFormat="1" ht="23.1" customHeight="1">
      <c r="A6" s="38" t="s">
        <v>1</v>
      </c>
      <c r="B6" s="214">
        <v>0</v>
      </c>
      <c r="C6" s="214">
        <f>20+24+345</f>
        <v>389</v>
      </c>
      <c r="D6" s="214"/>
      <c r="E6" s="214">
        <v>15</v>
      </c>
      <c r="F6" s="214">
        <v>0</v>
      </c>
      <c r="G6" s="214"/>
      <c r="H6" s="214">
        <v>0</v>
      </c>
      <c r="I6" s="214">
        <v>0</v>
      </c>
      <c r="J6" s="214"/>
      <c r="K6" s="214">
        <v>250</v>
      </c>
      <c r="L6" s="214">
        <v>0</v>
      </c>
      <c r="M6" s="214"/>
      <c r="N6" s="214">
        <f>3820+713</f>
        <v>4533</v>
      </c>
      <c r="O6" s="214">
        <f>10210+3095+9080</f>
        <v>22385</v>
      </c>
      <c r="P6" s="214"/>
      <c r="Q6" s="214">
        <f>B6+E6+H6+K6+N6</f>
        <v>4798</v>
      </c>
      <c r="R6" s="214">
        <f>C6+F6+I6+L6+O6</f>
        <v>22774</v>
      </c>
    </row>
    <row r="7" spans="1:20" s="72" customFormat="1" ht="23.1" customHeight="1">
      <c r="A7" s="38" t="s">
        <v>2</v>
      </c>
      <c r="B7" s="214">
        <v>220</v>
      </c>
      <c r="C7" s="214">
        <f>50+500+5000+110+50+4800+8000+163+2332+1668</f>
        <v>22673</v>
      </c>
      <c r="D7" s="214"/>
      <c r="E7" s="214">
        <f>75+68</f>
        <v>143</v>
      </c>
      <c r="F7" s="214">
        <f>190+65+65+70</f>
        <v>390</v>
      </c>
      <c r="G7" s="214"/>
      <c r="H7" s="214">
        <v>0</v>
      </c>
      <c r="I7" s="214">
        <v>70</v>
      </c>
      <c r="J7" s="214"/>
      <c r="K7" s="214">
        <v>350</v>
      </c>
      <c r="L7" s="214">
        <v>100</v>
      </c>
      <c r="M7" s="214"/>
      <c r="N7" s="214">
        <f>815+4439</f>
        <v>5254</v>
      </c>
      <c r="O7" s="214">
        <f>14519+3938+12833</f>
        <v>31290</v>
      </c>
      <c r="P7" s="214"/>
      <c r="Q7" s="214">
        <f t="shared" ref="Q7:Q19" si="0">B7+E7+H7+K7+N7</f>
        <v>5967</v>
      </c>
      <c r="R7" s="214">
        <f t="shared" ref="R7:R19" si="1">C7+F7+I7+L7+O7</f>
        <v>54523</v>
      </c>
    </row>
    <row r="8" spans="1:20" s="72" customFormat="1" ht="23.1" customHeight="1">
      <c r="A8" s="38" t="s">
        <v>39</v>
      </c>
      <c r="B8" s="214">
        <v>0</v>
      </c>
      <c r="C8" s="214">
        <f>5650+184+65</f>
        <v>5899</v>
      </c>
      <c r="D8" s="214"/>
      <c r="E8" s="214">
        <v>125</v>
      </c>
      <c r="F8" s="214">
        <f>60+45+105+50</f>
        <v>260</v>
      </c>
      <c r="G8" s="214"/>
      <c r="H8" s="214">
        <v>0</v>
      </c>
      <c r="I8" s="214">
        <v>0</v>
      </c>
      <c r="J8" s="214"/>
      <c r="K8" s="214">
        <f>600</f>
        <v>600</v>
      </c>
      <c r="L8" s="214">
        <v>25</v>
      </c>
      <c r="M8" s="214"/>
      <c r="N8" s="214">
        <f>1118+85</f>
        <v>1203</v>
      </c>
      <c r="O8" s="214">
        <f>754+215+1990+2012</f>
        <v>4971</v>
      </c>
      <c r="P8" s="214"/>
      <c r="Q8" s="214">
        <f>B8+E8+H8+K8+N8</f>
        <v>1928</v>
      </c>
      <c r="R8" s="214">
        <f>C8+F8+I8+L8+O8</f>
        <v>11155</v>
      </c>
    </row>
    <row r="9" spans="1:20" s="72" customFormat="1" ht="23.1" customHeight="1">
      <c r="A9" s="39" t="s">
        <v>3</v>
      </c>
      <c r="B9" s="214">
        <f>150+137.4</f>
        <v>287.39999999999998</v>
      </c>
      <c r="C9" s="215">
        <f>30+220+80+3249+3500+125+2749+2000+27+15+36</f>
        <v>12031</v>
      </c>
      <c r="D9" s="215"/>
      <c r="E9" s="215">
        <f>184+40</f>
        <v>224</v>
      </c>
      <c r="F9" s="215">
        <f>60+55+45+185+60+40+65</f>
        <v>510</v>
      </c>
      <c r="G9" s="215"/>
      <c r="H9" s="215">
        <v>0</v>
      </c>
      <c r="I9" s="215">
        <v>0</v>
      </c>
      <c r="J9" s="215"/>
      <c r="K9" s="215">
        <f>400+350</f>
        <v>750</v>
      </c>
      <c r="L9" s="214">
        <v>0</v>
      </c>
      <c r="M9" s="215"/>
      <c r="N9" s="214">
        <f>326+1776+442+74</f>
        <v>2618</v>
      </c>
      <c r="O9" s="214">
        <f>5807+1575+5134+2218+585+1946</f>
        <v>17265</v>
      </c>
      <c r="P9" s="215"/>
      <c r="Q9" s="214">
        <f t="shared" si="0"/>
        <v>3879.4</v>
      </c>
      <c r="R9" s="214">
        <f t="shared" si="1"/>
        <v>29806</v>
      </c>
    </row>
    <row r="10" spans="1:20" s="72" customFormat="1" ht="23.1" customHeight="1">
      <c r="A10" s="39" t="s">
        <v>4</v>
      </c>
      <c r="B10" s="215">
        <v>0</v>
      </c>
      <c r="C10" s="215">
        <f>88+40+7700+2000+12+858</f>
        <v>10698</v>
      </c>
      <c r="D10" s="215"/>
      <c r="E10" s="215">
        <f>395</f>
        <v>395</v>
      </c>
      <c r="F10" s="215">
        <f>90+400+1360+500</f>
        <v>2350</v>
      </c>
      <c r="G10" s="215"/>
      <c r="H10" s="215">
        <v>0</v>
      </c>
      <c r="I10" s="215">
        <v>0</v>
      </c>
      <c r="J10" s="215"/>
      <c r="K10" s="215">
        <v>1000</v>
      </c>
      <c r="L10" s="214">
        <v>0</v>
      </c>
      <c r="M10" s="215"/>
      <c r="N10" s="214">
        <f>610+3327</f>
        <v>3937</v>
      </c>
      <c r="O10" s="214">
        <f>10961+2964+9680</f>
        <v>23605</v>
      </c>
      <c r="P10" s="215"/>
      <c r="Q10" s="214">
        <f t="shared" si="0"/>
        <v>5332</v>
      </c>
      <c r="R10" s="214">
        <f t="shared" si="1"/>
        <v>36653</v>
      </c>
    </row>
    <row r="11" spans="1:20" s="72" customFormat="1" ht="23.1" customHeight="1">
      <c r="A11" s="39" t="s">
        <v>5</v>
      </c>
      <c r="B11" s="214">
        <v>0</v>
      </c>
      <c r="C11" s="214">
        <f>2000+130+11489+25+120+184+65</f>
        <v>14013</v>
      </c>
      <c r="D11" s="214"/>
      <c r="E11" s="214">
        <f>193</f>
        <v>193</v>
      </c>
      <c r="F11" s="214">
        <f>90+180+1000+200</f>
        <v>1470</v>
      </c>
      <c r="G11" s="214"/>
      <c r="H11" s="214">
        <v>0</v>
      </c>
      <c r="I11" s="214">
        <v>0</v>
      </c>
      <c r="J11" s="215"/>
      <c r="K11" s="215">
        <f>1000</f>
        <v>1000</v>
      </c>
      <c r="L11" s="214">
        <f>100</f>
        <v>100</v>
      </c>
      <c r="M11" s="215"/>
      <c r="N11" s="214">
        <f>355+65</f>
        <v>420</v>
      </c>
      <c r="O11" s="214">
        <f>1024+1158+321</f>
        <v>2503</v>
      </c>
      <c r="P11" s="215"/>
      <c r="Q11" s="214">
        <f t="shared" si="0"/>
        <v>1613</v>
      </c>
      <c r="R11" s="214">
        <f t="shared" si="1"/>
        <v>18086</v>
      </c>
    </row>
    <row r="12" spans="1:20" s="72" customFormat="1" ht="23.1" customHeight="1">
      <c r="A12" s="39" t="s">
        <v>6</v>
      </c>
      <c r="B12" s="214">
        <v>0</v>
      </c>
      <c r="C12" s="214">
        <f>70+320+20+36+11324+3000</f>
        <v>14770</v>
      </c>
      <c r="D12" s="214"/>
      <c r="E12" s="214">
        <f>25+145+85</f>
        <v>255</v>
      </c>
      <c r="F12" s="214">
        <f>80+170+400</f>
        <v>650</v>
      </c>
      <c r="G12" s="214"/>
      <c r="H12" s="214">
        <v>0</v>
      </c>
      <c r="I12" s="214">
        <v>0</v>
      </c>
      <c r="J12" s="214"/>
      <c r="K12" s="214">
        <f>350</f>
        <v>350</v>
      </c>
      <c r="L12" s="214">
        <v>100</v>
      </c>
      <c r="M12" s="214"/>
      <c r="N12" s="214">
        <f>3260+23823</f>
        <v>27083</v>
      </c>
      <c r="O12" s="214">
        <f>58065+6277+51341</f>
        <v>115683</v>
      </c>
      <c r="P12" s="214"/>
      <c r="Q12" s="214">
        <f t="shared" si="0"/>
        <v>27688</v>
      </c>
      <c r="R12" s="214">
        <f t="shared" si="1"/>
        <v>131203</v>
      </c>
    </row>
    <row r="13" spans="1:20" s="72" customFormat="1" ht="23.1" customHeight="1">
      <c r="A13" s="39" t="s">
        <v>7</v>
      </c>
      <c r="B13" s="214">
        <f>220</f>
        <v>220</v>
      </c>
      <c r="C13" s="214">
        <f>500+3325+50+66+35</f>
        <v>3976</v>
      </c>
      <c r="D13" s="214"/>
      <c r="E13" s="214">
        <f>85+45</f>
        <v>130</v>
      </c>
      <c r="F13" s="214">
        <f>60+40+50+40</f>
        <v>190</v>
      </c>
      <c r="G13" s="214"/>
      <c r="H13" s="214">
        <v>0</v>
      </c>
      <c r="I13" s="214">
        <v>0</v>
      </c>
      <c r="J13" s="214"/>
      <c r="K13" s="214">
        <f>350</f>
        <v>350</v>
      </c>
      <c r="L13" s="214">
        <f>100</f>
        <v>100</v>
      </c>
      <c r="M13" s="214"/>
      <c r="N13" s="214">
        <f>1547+297</f>
        <v>1844</v>
      </c>
      <c r="O13" s="214">
        <f>1409+800+762</f>
        <v>2971</v>
      </c>
      <c r="P13" s="214"/>
      <c r="Q13" s="214">
        <f t="shared" si="0"/>
        <v>2544</v>
      </c>
      <c r="R13" s="214">
        <f t="shared" si="1"/>
        <v>7237</v>
      </c>
    </row>
    <row r="14" spans="1:20" s="72" customFormat="1" ht="23.1" customHeight="1">
      <c r="A14" s="39" t="s">
        <v>8</v>
      </c>
      <c r="B14" s="215">
        <v>0</v>
      </c>
      <c r="C14" s="215">
        <f>15+42+337+4600+2000+497+1000+99</f>
        <v>8590</v>
      </c>
      <c r="D14" s="215"/>
      <c r="E14" s="215">
        <f>175+70+68</f>
        <v>313</v>
      </c>
      <c r="F14" s="215">
        <f>85+75+220</f>
        <v>380</v>
      </c>
      <c r="G14" s="215"/>
      <c r="H14" s="215">
        <v>0</v>
      </c>
      <c r="I14" s="215">
        <v>0</v>
      </c>
      <c r="J14" s="215"/>
      <c r="K14" s="215">
        <v>600</v>
      </c>
      <c r="L14" s="214">
        <v>100</v>
      </c>
      <c r="M14" s="215"/>
      <c r="N14" s="214">
        <f>660+3434</f>
        <v>4094</v>
      </c>
      <c r="O14" s="214">
        <f>7288+8193+3135</f>
        <v>18616</v>
      </c>
      <c r="P14" s="215"/>
      <c r="Q14" s="214">
        <f t="shared" si="0"/>
        <v>5007</v>
      </c>
      <c r="R14" s="214">
        <f t="shared" si="1"/>
        <v>27686</v>
      </c>
    </row>
    <row r="15" spans="1:20" s="72" customFormat="1" ht="23.1" customHeight="1">
      <c r="A15" s="39" t="s">
        <v>9</v>
      </c>
      <c r="B15" s="215">
        <v>0</v>
      </c>
      <c r="C15" s="215">
        <f>250+15+29+8504+300+22+10+100</f>
        <v>9230</v>
      </c>
      <c r="D15" s="215"/>
      <c r="E15" s="215">
        <f>20+85</f>
        <v>105</v>
      </c>
      <c r="F15" s="215">
        <f>65+100+260</f>
        <v>425</v>
      </c>
      <c r="G15" s="215"/>
      <c r="H15" s="215">
        <v>0</v>
      </c>
      <c r="I15" s="215">
        <v>0</v>
      </c>
      <c r="J15" s="215"/>
      <c r="K15" s="214">
        <f>400</f>
        <v>400</v>
      </c>
      <c r="L15" s="214">
        <v>50</v>
      </c>
      <c r="M15" s="215"/>
      <c r="N15" s="214">
        <f>396+2081</f>
        <v>2477</v>
      </c>
      <c r="O15" s="214">
        <f>1498+3952+4407</f>
        <v>9857</v>
      </c>
      <c r="P15" s="215"/>
      <c r="Q15" s="214">
        <f t="shared" si="0"/>
        <v>2982</v>
      </c>
      <c r="R15" s="214">
        <f t="shared" si="1"/>
        <v>19562</v>
      </c>
    </row>
    <row r="16" spans="1:20" s="72" customFormat="1" ht="23.1" customHeight="1">
      <c r="A16" s="39" t="s">
        <v>10</v>
      </c>
      <c r="B16" s="215">
        <v>0</v>
      </c>
      <c r="C16" s="215">
        <v>1413</v>
      </c>
      <c r="D16" s="215"/>
      <c r="E16" s="215">
        <v>2895</v>
      </c>
      <c r="F16" s="215">
        <v>3136</v>
      </c>
      <c r="G16" s="215"/>
      <c r="H16" s="215">
        <v>0</v>
      </c>
      <c r="I16" s="215">
        <v>0</v>
      </c>
      <c r="J16" s="215"/>
      <c r="K16" s="214">
        <v>450</v>
      </c>
      <c r="L16" s="214">
        <v>0</v>
      </c>
      <c r="M16" s="215"/>
      <c r="N16" s="214">
        <v>0</v>
      </c>
      <c r="O16" s="214">
        <v>160</v>
      </c>
      <c r="P16" s="215"/>
      <c r="Q16" s="214">
        <f t="shared" si="0"/>
        <v>3345</v>
      </c>
      <c r="R16" s="214">
        <f t="shared" si="1"/>
        <v>4709</v>
      </c>
    </row>
    <row r="17" spans="1:18" s="72" customFormat="1" ht="23.1" customHeight="1">
      <c r="A17" s="39" t="s">
        <v>11</v>
      </c>
      <c r="B17" s="215">
        <v>0</v>
      </c>
      <c r="C17" s="215">
        <v>1597</v>
      </c>
      <c r="D17" s="215"/>
      <c r="E17" s="215">
        <v>1147</v>
      </c>
      <c r="F17" s="215">
        <v>693</v>
      </c>
      <c r="G17" s="215"/>
      <c r="H17" s="215">
        <v>0</v>
      </c>
      <c r="I17" s="215">
        <v>0</v>
      </c>
      <c r="J17" s="215"/>
      <c r="K17" s="214">
        <v>0</v>
      </c>
      <c r="L17" s="214">
        <v>0</v>
      </c>
      <c r="M17" s="215"/>
      <c r="N17" s="214">
        <v>875</v>
      </c>
      <c r="O17" s="214">
        <v>1922</v>
      </c>
      <c r="P17" s="215"/>
      <c r="Q17" s="214">
        <f t="shared" si="0"/>
        <v>2022</v>
      </c>
      <c r="R17" s="214">
        <f t="shared" si="1"/>
        <v>4212</v>
      </c>
    </row>
    <row r="18" spans="1:18" s="72" customFormat="1" ht="23.1" customHeight="1">
      <c r="A18" s="39" t="s">
        <v>12</v>
      </c>
      <c r="B18" s="215">
        <v>0</v>
      </c>
      <c r="C18" s="215">
        <v>467</v>
      </c>
      <c r="D18" s="215"/>
      <c r="E18" s="215">
        <v>938</v>
      </c>
      <c r="F18" s="215">
        <v>136</v>
      </c>
      <c r="G18" s="215"/>
      <c r="H18" s="215">
        <v>0</v>
      </c>
      <c r="I18" s="215">
        <v>0</v>
      </c>
      <c r="J18" s="215"/>
      <c r="K18" s="214">
        <v>420</v>
      </c>
      <c r="L18" s="215">
        <v>0</v>
      </c>
      <c r="M18" s="215"/>
      <c r="N18" s="214">
        <v>0</v>
      </c>
      <c r="O18" s="214">
        <v>2604</v>
      </c>
      <c r="P18" s="215"/>
      <c r="Q18" s="214">
        <f t="shared" si="0"/>
        <v>1358</v>
      </c>
      <c r="R18" s="214">
        <f t="shared" si="1"/>
        <v>3207</v>
      </c>
    </row>
    <row r="19" spans="1:18" s="72" customFormat="1" ht="23.1" customHeight="1" thickBot="1">
      <c r="A19" s="41" t="s">
        <v>13</v>
      </c>
      <c r="B19" s="216">
        <v>0</v>
      </c>
      <c r="C19" s="216">
        <v>2123</v>
      </c>
      <c r="D19" s="216"/>
      <c r="E19" s="216">
        <v>1328</v>
      </c>
      <c r="F19" s="216">
        <v>462</v>
      </c>
      <c r="G19" s="216"/>
      <c r="H19" s="215">
        <v>0</v>
      </c>
      <c r="I19" s="215">
        <v>0</v>
      </c>
      <c r="J19" s="216"/>
      <c r="K19" s="216">
        <v>0</v>
      </c>
      <c r="L19" s="216">
        <v>0</v>
      </c>
      <c r="M19" s="216"/>
      <c r="N19" s="216">
        <v>490</v>
      </c>
      <c r="O19" s="216">
        <v>2205</v>
      </c>
      <c r="P19" s="216"/>
      <c r="Q19" s="214">
        <f t="shared" si="0"/>
        <v>1818</v>
      </c>
      <c r="R19" s="214">
        <f t="shared" si="1"/>
        <v>4790</v>
      </c>
    </row>
    <row r="20" spans="1:18" ht="23.1" customHeight="1" thickTop="1" thickBot="1">
      <c r="A20" s="78" t="s">
        <v>41</v>
      </c>
      <c r="B20" s="217">
        <f>SUM(B5:B19)</f>
        <v>727.4</v>
      </c>
      <c r="C20" s="217">
        <f>SUM(C5:C19)</f>
        <v>108243</v>
      </c>
      <c r="D20" s="217"/>
      <c r="E20" s="217">
        <f>SUM(E5:E19)</f>
        <v>8206</v>
      </c>
      <c r="F20" s="217">
        <f>SUM(F5:F19)</f>
        <v>11052</v>
      </c>
      <c r="G20" s="217"/>
      <c r="H20" s="217">
        <f>SUM(H5:H19)</f>
        <v>0</v>
      </c>
      <c r="I20" s="217">
        <f>SUM(I5:I19)</f>
        <v>70</v>
      </c>
      <c r="J20" s="217">
        <f>SUM(J5:J19)</f>
        <v>0</v>
      </c>
      <c r="K20" s="217">
        <f>SUM(K5:K19)</f>
        <v>7120</v>
      </c>
      <c r="L20" s="217">
        <f>SUM(L5:L19)</f>
        <v>575</v>
      </c>
      <c r="M20" s="217"/>
      <c r="N20" s="217">
        <f>SUM(N5:N19)</f>
        <v>59946</v>
      </c>
      <c r="O20" s="217">
        <f>SUM(O5:O19)</f>
        <v>270832</v>
      </c>
      <c r="P20" s="217"/>
      <c r="Q20" s="217">
        <f>SUM(Q5:Q19)</f>
        <v>75999.399999999994</v>
      </c>
      <c r="R20" s="217">
        <f>SUM(R5:R19)</f>
        <v>390772</v>
      </c>
    </row>
    <row r="21" spans="1:18" ht="7.5" customHeight="1" thickTop="1">
      <c r="A21" s="148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</row>
    <row r="22" spans="1:18" ht="15" customHeight="1">
      <c r="A22" s="236" t="s">
        <v>83</v>
      </c>
      <c r="B22" s="236"/>
      <c r="C22" s="236"/>
      <c r="D22" s="236"/>
      <c r="E22" s="236"/>
      <c r="F22" s="236"/>
      <c r="G22" s="236"/>
      <c r="H22" s="236"/>
      <c r="I22" s="148"/>
      <c r="J22" s="148"/>
      <c r="K22" s="148"/>
      <c r="L22" s="148"/>
      <c r="M22" s="148"/>
      <c r="N22" s="148"/>
      <c r="O22" s="148"/>
      <c r="P22" s="148"/>
      <c r="Q22" s="148"/>
      <c r="R22" s="148"/>
    </row>
    <row r="23" spans="1:18" ht="11.25" customHeight="1">
      <c r="I23" s="121"/>
      <c r="J23" s="121"/>
      <c r="K23" s="121"/>
      <c r="L23" s="121"/>
      <c r="M23" s="121"/>
      <c r="N23" s="121"/>
      <c r="O23" s="87"/>
    </row>
    <row r="24" spans="1:18" ht="71.25" customHeight="1">
      <c r="A24" s="147"/>
      <c r="B24" s="147"/>
      <c r="C24" s="147"/>
      <c r="D24" s="147"/>
      <c r="E24" s="147"/>
      <c r="F24" s="147"/>
      <c r="G24" s="147"/>
      <c r="H24" s="147"/>
      <c r="I24" s="149"/>
      <c r="J24" s="149"/>
      <c r="K24" s="149"/>
      <c r="L24" s="149"/>
      <c r="M24" s="149"/>
      <c r="N24" s="149"/>
      <c r="O24" s="87"/>
    </row>
    <row r="25" spans="1:18" ht="18.75" customHeight="1">
      <c r="A25" s="237" t="s">
        <v>51</v>
      </c>
      <c r="B25" s="237"/>
      <c r="C25" s="237"/>
      <c r="D25" s="237"/>
      <c r="E25" s="237"/>
      <c r="F25" s="237"/>
      <c r="G25" s="237"/>
      <c r="H25" s="237"/>
      <c r="I25" s="237"/>
      <c r="J25" s="237"/>
      <c r="K25" s="237"/>
      <c r="L25" s="61">
        <v>105</v>
      </c>
      <c r="M25" s="61"/>
      <c r="N25" s="20"/>
      <c r="O25" s="20"/>
      <c r="P25" s="20"/>
      <c r="Q25" s="20"/>
      <c r="R25" s="20"/>
    </row>
  </sheetData>
  <mergeCells count="11">
    <mergeCell ref="A1:R1"/>
    <mergeCell ref="Q3:R3"/>
    <mergeCell ref="A25:K25"/>
    <mergeCell ref="B3:C3"/>
    <mergeCell ref="K3:L3"/>
    <mergeCell ref="N3:O3"/>
    <mergeCell ref="A3:A4"/>
    <mergeCell ref="E3:F3"/>
    <mergeCell ref="H3:I3"/>
    <mergeCell ref="F2:L2"/>
    <mergeCell ref="A22:H22"/>
  </mergeCells>
  <printOptions horizontalCentered="1"/>
  <pageMargins left="0.70866141732283472" right="0.70866141732283472" top="0.39370078740157483" bottom="0.35433070866141736" header="0.31496062992125984" footer="0.31496062992125984"/>
  <pageSetup paperSize="9" scale="95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H26"/>
  <sheetViews>
    <sheetView rightToLeft="1" view="pageBreakPreview" zoomScaleSheetLayoutView="100" workbookViewId="0">
      <selection sqref="A1:F1"/>
    </sheetView>
  </sheetViews>
  <sheetFormatPr defaultRowHeight="12.75"/>
  <cols>
    <col min="1" max="1" width="12.7109375" style="71" customWidth="1"/>
    <col min="2" max="2" width="19.7109375" style="71" customWidth="1"/>
    <col min="3" max="3" width="19.140625" style="71" customWidth="1"/>
    <col min="4" max="4" width="18.7109375" style="71" customWidth="1"/>
    <col min="5" max="5" width="23.140625" style="71" customWidth="1"/>
    <col min="6" max="6" width="16.7109375" style="71" customWidth="1"/>
    <col min="7" max="16384" width="9.140625" style="71"/>
  </cols>
  <sheetData>
    <row r="1" spans="1:8" ht="24.75" customHeight="1">
      <c r="A1" s="250" t="s">
        <v>124</v>
      </c>
      <c r="B1" s="250"/>
      <c r="C1" s="250"/>
      <c r="D1" s="250"/>
      <c r="E1" s="250"/>
      <c r="F1" s="250"/>
    </row>
    <row r="2" spans="1:8" ht="25.5" customHeight="1" thickBot="1">
      <c r="A2" s="67" t="s">
        <v>84</v>
      </c>
      <c r="B2" s="68"/>
      <c r="C2" s="68"/>
      <c r="E2" s="218"/>
      <c r="F2" s="219" t="s">
        <v>52</v>
      </c>
    </row>
    <row r="3" spans="1:8" ht="30" customHeight="1" thickTop="1">
      <c r="A3" s="171" t="s">
        <v>14</v>
      </c>
      <c r="B3" s="167" t="s">
        <v>103</v>
      </c>
      <c r="C3" s="193" t="s">
        <v>117</v>
      </c>
      <c r="D3" s="171" t="s">
        <v>104</v>
      </c>
      <c r="E3" s="189" t="s">
        <v>116</v>
      </c>
      <c r="F3" s="193" t="s">
        <v>0</v>
      </c>
    </row>
    <row r="4" spans="1:8" s="72" customFormat="1" ht="23.1" customHeight="1">
      <c r="A4" s="38" t="s">
        <v>15</v>
      </c>
      <c r="B4" s="123">
        <v>2293220</v>
      </c>
      <c r="C4" s="123">
        <v>4137640</v>
      </c>
      <c r="D4" s="123">
        <v>1078000</v>
      </c>
      <c r="E4" s="123" t="s">
        <v>65</v>
      </c>
      <c r="F4" s="123">
        <f t="shared" ref="F4:F18" si="0">SUM(B4:E4)</f>
        <v>7508860</v>
      </c>
      <c r="G4" s="58"/>
      <c r="H4" s="58"/>
    </row>
    <row r="5" spans="1:8" s="72" customFormat="1" ht="23.1" customHeight="1">
      <c r="A5" s="38" t="s">
        <v>1</v>
      </c>
      <c r="B5" s="123">
        <v>11725.1</v>
      </c>
      <c r="C5" s="123">
        <v>661980</v>
      </c>
      <c r="D5" s="123" t="s">
        <v>65</v>
      </c>
      <c r="E5" s="123" t="s">
        <v>65</v>
      </c>
      <c r="F5" s="123">
        <f t="shared" si="0"/>
        <v>673705.1</v>
      </c>
    </row>
    <row r="6" spans="1:8" s="72" customFormat="1" ht="23.1" customHeight="1">
      <c r="A6" s="38" t="s">
        <v>2</v>
      </c>
      <c r="B6" s="123">
        <v>657476</v>
      </c>
      <c r="C6" s="123">
        <v>1759030</v>
      </c>
      <c r="D6" s="123">
        <v>49147.601999999999</v>
      </c>
      <c r="E6" s="123">
        <v>103204</v>
      </c>
      <c r="F6" s="123">
        <f t="shared" si="0"/>
        <v>2568857.602</v>
      </c>
    </row>
    <row r="7" spans="1:8" s="72" customFormat="1" ht="23.1" customHeight="1">
      <c r="A7" s="38" t="s">
        <v>39</v>
      </c>
      <c r="B7" s="123">
        <v>7467920</v>
      </c>
      <c r="C7" s="123">
        <v>45804400</v>
      </c>
      <c r="D7" s="123">
        <v>72126</v>
      </c>
      <c r="E7" s="177">
        <v>2344330</v>
      </c>
      <c r="F7" s="123">
        <f t="shared" si="0"/>
        <v>55688776</v>
      </c>
    </row>
    <row r="8" spans="1:8" s="72" customFormat="1" ht="23.1" customHeight="1">
      <c r="A8" s="39" t="s">
        <v>3</v>
      </c>
      <c r="B8" s="123">
        <v>87973.601999999999</v>
      </c>
      <c r="C8" s="93">
        <v>414612</v>
      </c>
      <c r="D8" s="93" t="s">
        <v>65</v>
      </c>
      <c r="E8" s="93" t="s">
        <v>65</v>
      </c>
      <c r="F8" s="93">
        <f t="shared" si="0"/>
        <v>502585.60200000001</v>
      </c>
    </row>
    <row r="9" spans="1:8" s="72" customFormat="1" ht="23.1" customHeight="1">
      <c r="A9" s="39" t="s">
        <v>4</v>
      </c>
      <c r="B9" s="175">
        <v>26921.800999999999</v>
      </c>
      <c r="C9" s="93">
        <v>317202</v>
      </c>
      <c r="D9" s="93">
        <v>2656.24</v>
      </c>
      <c r="E9" s="93">
        <v>40510</v>
      </c>
      <c r="F9" s="93">
        <f t="shared" si="0"/>
        <v>387290.04099999997</v>
      </c>
    </row>
    <row r="10" spans="1:8" s="72" customFormat="1" ht="23.1" customHeight="1">
      <c r="A10" s="39" t="s">
        <v>5</v>
      </c>
      <c r="B10" s="123">
        <v>428932</v>
      </c>
      <c r="C10" s="123">
        <v>1094350</v>
      </c>
      <c r="D10" s="123">
        <v>29768.199000000001</v>
      </c>
      <c r="E10" s="123">
        <v>89255.202999999994</v>
      </c>
      <c r="F10" s="123">
        <f t="shared" si="0"/>
        <v>1642305.402</v>
      </c>
    </row>
    <row r="11" spans="1:8" s="72" customFormat="1" ht="23.1" customHeight="1">
      <c r="A11" s="39" t="s">
        <v>6</v>
      </c>
      <c r="B11" s="123">
        <v>1106680</v>
      </c>
      <c r="C11" s="123">
        <v>2093360</v>
      </c>
      <c r="D11" s="123">
        <v>25764.699000000001</v>
      </c>
      <c r="E11" s="123">
        <v>269713</v>
      </c>
      <c r="F11" s="123">
        <f t="shared" si="0"/>
        <v>3495517.699</v>
      </c>
    </row>
    <row r="12" spans="1:8" s="72" customFormat="1" ht="23.1" customHeight="1">
      <c r="A12" s="39" t="s">
        <v>7</v>
      </c>
      <c r="B12" s="123">
        <v>929360</v>
      </c>
      <c r="C12" s="123">
        <v>4982240</v>
      </c>
      <c r="D12" s="123">
        <v>1235420</v>
      </c>
      <c r="E12" s="123">
        <v>585488</v>
      </c>
      <c r="F12" s="123">
        <f t="shared" si="0"/>
        <v>7732508</v>
      </c>
    </row>
    <row r="13" spans="1:8" s="72" customFormat="1" ht="23.1" customHeight="1">
      <c r="A13" s="39" t="s">
        <v>8</v>
      </c>
      <c r="B13" s="93">
        <v>666568</v>
      </c>
      <c r="C13" s="175">
        <v>10287900</v>
      </c>
      <c r="D13" s="93">
        <v>31597.300999999999</v>
      </c>
      <c r="E13" s="93">
        <v>369067</v>
      </c>
      <c r="F13" s="93">
        <f t="shared" si="0"/>
        <v>11355132.301000001</v>
      </c>
    </row>
    <row r="14" spans="1:8" s="72" customFormat="1" ht="23.1" customHeight="1">
      <c r="A14" s="39" t="s">
        <v>9</v>
      </c>
      <c r="B14" s="93">
        <v>338226</v>
      </c>
      <c r="C14" s="93">
        <v>1300360</v>
      </c>
      <c r="D14" s="93">
        <v>59516</v>
      </c>
      <c r="E14" s="93">
        <v>102796</v>
      </c>
      <c r="F14" s="93">
        <f t="shared" si="0"/>
        <v>1800898</v>
      </c>
    </row>
    <row r="15" spans="1:8" s="72" customFormat="1" ht="23.1" customHeight="1">
      <c r="A15" s="39" t="s">
        <v>10</v>
      </c>
      <c r="B15" s="93">
        <v>6515160</v>
      </c>
      <c r="C15" s="93">
        <v>13796000</v>
      </c>
      <c r="D15" s="93">
        <v>1486770</v>
      </c>
      <c r="E15" s="93">
        <v>7283000</v>
      </c>
      <c r="F15" s="93">
        <f t="shared" si="0"/>
        <v>29080930</v>
      </c>
    </row>
    <row r="16" spans="1:8" s="72" customFormat="1" ht="23.1" customHeight="1">
      <c r="A16" s="39" t="s">
        <v>11</v>
      </c>
      <c r="B16" s="93">
        <v>1459660</v>
      </c>
      <c r="C16" s="93">
        <v>1759030</v>
      </c>
      <c r="D16" s="93">
        <v>68566.398000000001</v>
      </c>
      <c r="E16" s="93">
        <v>539384</v>
      </c>
      <c r="F16" s="93">
        <f t="shared" si="0"/>
        <v>3826640.398</v>
      </c>
    </row>
    <row r="17" spans="1:6" s="72" customFormat="1" ht="23.1" customHeight="1">
      <c r="A17" s="39" t="s">
        <v>12</v>
      </c>
      <c r="B17" s="93">
        <v>1439960</v>
      </c>
      <c r="C17" s="93">
        <v>2423940</v>
      </c>
      <c r="D17" s="93">
        <v>91724.398000000001</v>
      </c>
      <c r="E17" s="93">
        <v>1162620</v>
      </c>
      <c r="F17" s="93">
        <f t="shared" si="0"/>
        <v>5118244.398</v>
      </c>
    </row>
    <row r="18" spans="1:6" s="72" customFormat="1" ht="23.1" customHeight="1" thickBot="1">
      <c r="A18" s="41" t="s">
        <v>13</v>
      </c>
      <c r="B18" s="95">
        <v>3348780</v>
      </c>
      <c r="C18" s="95">
        <v>2920310</v>
      </c>
      <c r="D18" s="95">
        <v>10781.8</v>
      </c>
      <c r="E18" s="95">
        <v>626952</v>
      </c>
      <c r="F18" s="95">
        <f t="shared" si="0"/>
        <v>6906823.7999999998</v>
      </c>
    </row>
    <row r="19" spans="1:6" ht="21.75" customHeight="1" thickTop="1" thickBot="1">
      <c r="A19" s="169" t="s">
        <v>41</v>
      </c>
      <c r="B19" s="124">
        <f>SUM(B4:B18)</f>
        <v>26778562.502999999</v>
      </c>
      <c r="C19" s="124">
        <f>SUM(C4:C18)</f>
        <v>93752354</v>
      </c>
      <c r="D19" s="124">
        <f>D4+D6+D7+D9+D10+D11+D12+D13+D14+D15+D16+D17+D18</f>
        <v>4241838.6370000001</v>
      </c>
      <c r="E19" s="124">
        <f>E6+E7+E9+E10+E11+E12+E13+E14+E15+E16+E17+E18</f>
        <v>13516319.203</v>
      </c>
      <c r="F19" s="124">
        <f>SUM(F4:F18)</f>
        <v>138289074.34299999</v>
      </c>
    </row>
    <row r="20" spans="1:6" ht="7.5" hidden="1" customHeight="1" thickTop="1">
      <c r="A20" s="170"/>
      <c r="B20" s="170"/>
      <c r="C20" s="170"/>
      <c r="D20" s="170"/>
      <c r="E20" s="170"/>
      <c r="F20" s="170"/>
    </row>
    <row r="21" spans="1:6" ht="3.75" customHeight="1" thickTop="1">
      <c r="A21" s="192"/>
      <c r="B21" s="192"/>
      <c r="C21" s="192"/>
      <c r="D21" s="192"/>
      <c r="E21" s="192"/>
      <c r="F21" s="192"/>
    </row>
    <row r="22" spans="1:6" ht="11.25" customHeight="1">
      <c r="A22" s="170" t="s">
        <v>68</v>
      </c>
      <c r="B22" s="170"/>
      <c r="C22" s="170"/>
      <c r="D22" s="170"/>
      <c r="E22" s="170"/>
      <c r="F22" s="170"/>
    </row>
    <row r="23" spans="1:6" ht="4.5" customHeight="1">
      <c r="A23" s="192"/>
      <c r="B23" s="192"/>
      <c r="C23" s="192"/>
      <c r="D23" s="192"/>
      <c r="E23" s="192"/>
      <c r="F23" s="192"/>
    </row>
    <row r="24" spans="1:6" ht="15.75" customHeight="1">
      <c r="A24" s="236" t="s">
        <v>83</v>
      </c>
      <c r="B24" s="236"/>
      <c r="C24" s="236"/>
      <c r="D24" s="236"/>
      <c r="E24" s="236"/>
      <c r="F24" s="236"/>
    </row>
    <row r="25" spans="1:6" ht="33.75" customHeight="1">
      <c r="A25" s="168"/>
      <c r="B25" s="168"/>
      <c r="C25" s="168"/>
      <c r="D25" s="168"/>
      <c r="E25" s="168"/>
      <c r="F25" s="168"/>
    </row>
    <row r="26" spans="1:6" ht="21" customHeight="1">
      <c r="A26" s="237" t="s">
        <v>51</v>
      </c>
      <c r="B26" s="237"/>
      <c r="C26" s="237"/>
      <c r="D26" s="237"/>
      <c r="E26" s="20">
        <v>106</v>
      </c>
      <c r="F26" s="20"/>
    </row>
  </sheetData>
  <mergeCells count="3">
    <mergeCell ref="A24:F24"/>
    <mergeCell ref="A1:F1"/>
    <mergeCell ref="A26:D26"/>
  </mergeCells>
  <printOptions horizontalCentered="1"/>
  <pageMargins left="0.70866141732283472" right="0.70866141732283472" top="0.74803149606299213" bottom="0.55118110236220474" header="0.31496062992125984" footer="0.31496062992125984"/>
  <pageSetup paperSize="9" scale="9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Z49"/>
  <sheetViews>
    <sheetView rightToLeft="1" view="pageBreakPreview" topLeftCell="A10" workbookViewId="0">
      <selection activeCell="B3" sqref="B3"/>
    </sheetView>
  </sheetViews>
  <sheetFormatPr defaultRowHeight="12.75"/>
  <cols>
    <col min="1" max="1" width="5.28515625" style="71" customWidth="1"/>
    <col min="2" max="2" width="13.85546875" customWidth="1"/>
    <col min="3" max="3" width="8.42578125" customWidth="1"/>
    <col min="4" max="4" width="3.28515625" customWidth="1"/>
    <col min="5" max="5" width="15.28515625" customWidth="1"/>
    <col min="7" max="7" width="12.42578125" customWidth="1"/>
    <col min="8" max="8" width="14.140625" customWidth="1"/>
    <col min="9" max="9" width="16.140625" hidden="1" customWidth="1"/>
  </cols>
  <sheetData>
    <row r="1" spans="1:26" ht="30" customHeight="1">
      <c r="B1" s="239" t="s">
        <v>90</v>
      </c>
      <c r="C1" s="239"/>
      <c r="D1" s="239"/>
      <c r="E1" s="239"/>
      <c r="F1" s="239"/>
      <c r="G1" s="239"/>
      <c r="H1" s="239"/>
      <c r="I1" s="239"/>
    </row>
    <row r="2" spans="1:26" ht="20.25" customHeight="1" thickBot="1">
      <c r="B2" s="280" t="s">
        <v>85</v>
      </c>
      <c r="C2" s="280"/>
      <c r="E2" s="97"/>
    </row>
    <row r="3" spans="1:26" ht="39.75" customHeight="1" thickTop="1">
      <c r="B3" s="114" t="s">
        <v>20</v>
      </c>
      <c r="C3" s="112"/>
      <c r="D3" s="112"/>
      <c r="E3" s="146" t="s">
        <v>94</v>
      </c>
      <c r="F3" s="114"/>
      <c r="G3" s="275" t="s">
        <v>71</v>
      </c>
      <c r="H3" s="275"/>
    </row>
    <row r="4" spans="1:26" ht="27" customHeight="1">
      <c r="B4" s="279" t="s">
        <v>58</v>
      </c>
      <c r="C4" s="279"/>
      <c r="D4" s="279"/>
      <c r="E4" s="277" t="s">
        <v>29</v>
      </c>
      <c r="F4" s="277"/>
      <c r="G4" s="276">
        <v>5724000</v>
      </c>
      <c r="H4" s="276"/>
      <c r="I4" s="3"/>
    </row>
    <row r="5" spans="1:26" s="11" customFormat="1" ht="27" customHeight="1">
      <c r="A5" s="71"/>
      <c r="B5" s="233"/>
      <c r="C5" s="233"/>
      <c r="D5" s="233"/>
      <c r="E5" s="278" t="s">
        <v>26</v>
      </c>
      <c r="F5" s="278"/>
      <c r="G5" s="271">
        <v>2612000</v>
      </c>
      <c r="H5" s="271"/>
      <c r="I5" s="10"/>
    </row>
    <row r="6" spans="1:26" ht="27" customHeight="1">
      <c r="B6" s="233" t="s">
        <v>59</v>
      </c>
      <c r="C6" s="233"/>
      <c r="D6" s="233"/>
      <c r="E6" s="281" t="s">
        <v>28</v>
      </c>
      <c r="F6" s="281"/>
      <c r="G6" s="273">
        <v>18764000</v>
      </c>
      <c r="H6" s="273"/>
      <c r="T6" s="69"/>
      <c r="U6" s="69"/>
      <c r="V6" s="69"/>
      <c r="W6" s="69"/>
      <c r="X6" s="69"/>
      <c r="Y6" s="69"/>
      <c r="Z6" s="69"/>
    </row>
    <row r="7" spans="1:26" s="11" customFormat="1" ht="27" customHeight="1">
      <c r="A7" s="71"/>
      <c r="B7" s="233"/>
      <c r="C7" s="233"/>
      <c r="D7" s="233"/>
      <c r="E7" s="278" t="s">
        <v>27</v>
      </c>
      <c r="F7" s="278"/>
      <c r="G7" s="274"/>
      <c r="H7" s="274"/>
    </row>
    <row r="8" spans="1:26" ht="27" customHeight="1">
      <c r="B8" s="233" t="s">
        <v>43</v>
      </c>
      <c r="C8" s="233"/>
      <c r="D8" s="233"/>
      <c r="E8" s="278" t="s">
        <v>28</v>
      </c>
      <c r="F8" s="278"/>
      <c r="G8" s="270">
        <v>5288000</v>
      </c>
      <c r="H8" s="270"/>
    </row>
    <row r="9" spans="1:26" s="11" customFormat="1" ht="27" customHeight="1">
      <c r="A9" s="71"/>
      <c r="B9" s="233"/>
      <c r="C9" s="233"/>
      <c r="D9" s="233"/>
      <c r="E9" s="282" t="s">
        <v>27</v>
      </c>
      <c r="F9" s="282"/>
      <c r="G9" s="270">
        <v>26716000</v>
      </c>
      <c r="H9" s="270"/>
    </row>
    <row r="10" spans="1:26" ht="27" customHeight="1">
      <c r="B10" s="233" t="s">
        <v>44</v>
      </c>
      <c r="C10" s="233"/>
      <c r="D10" s="233"/>
      <c r="E10" s="281" t="s">
        <v>45</v>
      </c>
      <c r="F10" s="281"/>
      <c r="G10" s="271">
        <v>67084000</v>
      </c>
      <c r="H10" s="271"/>
    </row>
    <row r="11" spans="1:26" s="11" customFormat="1" ht="27" customHeight="1" thickBot="1">
      <c r="A11" s="71"/>
      <c r="B11" s="234"/>
      <c r="C11" s="234"/>
      <c r="D11" s="234"/>
      <c r="E11" s="281" t="s">
        <v>46</v>
      </c>
      <c r="F11" s="281"/>
      <c r="G11" s="272">
        <v>34400000</v>
      </c>
      <c r="H11" s="272"/>
    </row>
    <row r="12" spans="1:26" ht="30" customHeight="1" thickTop="1" thickBot="1">
      <c r="B12" s="238" t="s">
        <v>69</v>
      </c>
      <c r="C12" s="238"/>
      <c r="D12" s="238"/>
      <c r="E12" s="238"/>
      <c r="F12" s="78"/>
      <c r="G12" s="118">
        <f>SUM(G4:G11)</f>
        <v>160588000</v>
      </c>
      <c r="H12" s="119"/>
      <c r="I12" s="83"/>
    </row>
    <row r="13" spans="1:26" s="71" customFormat="1" ht="9.75" customHeight="1" thickTop="1">
      <c r="B13" s="220"/>
      <c r="C13" s="220"/>
      <c r="D13" s="220"/>
      <c r="E13" s="220"/>
      <c r="F13" s="220"/>
      <c r="G13" s="221"/>
      <c r="H13" s="222"/>
      <c r="I13" s="1"/>
    </row>
    <row r="14" spans="1:26" s="33" customFormat="1" ht="20.25" customHeight="1">
      <c r="A14" s="71"/>
      <c r="B14" s="236" t="s">
        <v>108</v>
      </c>
      <c r="C14" s="236"/>
      <c r="D14" s="236"/>
      <c r="E14" s="236"/>
      <c r="F14" s="236"/>
      <c r="G14" s="29"/>
      <c r="H14" s="34"/>
    </row>
    <row r="15" spans="1:26" s="71" customFormat="1" ht="16.5" customHeight="1">
      <c r="B15" s="190"/>
      <c r="C15" s="190"/>
      <c r="D15" s="190"/>
      <c r="E15" s="190"/>
      <c r="F15" s="190"/>
      <c r="G15" s="29"/>
      <c r="H15" s="34"/>
    </row>
    <row r="16" spans="1:26" s="51" customFormat="1" ht="21.75" customHeight="1">
      <c r="A16" s="71"/>
      <c r="B16" s="236" t="s">
        <v>83</v>
      </c>
      <c r="C16" s="236"/>
      <c r="D16" s="236"/>
      <c r="E16" s="236"/>
      <c r="F16" s="22"/>
      <c r="G16" s="22"/>
      <c r="H16" s="23"/>
    </row>
    <row r="17" spans="1:9" s="51" customFormat="1" ht="12" customHeight="1">
      <c r="A17" s="71"/>
      <c r="B17" s="22"/>
      <c r="C17" s="22"/>
      <c r="D17" s="22"/>
      <c r="E17" s="22"/>
      <c r="F17" s="22"/>
      <c r="G17" s="22"/>
      <c r="H17" s="23"/>
    </row>
    <row r="18" spans="1:9" s="51" customFormat="1" ht="12" customHeight="1">
      <c r="A18" s="71"/>
      <c r="B18" s="22"/>
      <c r="C18" s="22"/>
      <c r="D18" s="22"/>
      <c r="E18" s="22"/>
      <c r="F18" s="22"/>
      <c r="G18" s="22"/>
      <c r="H18" s="23"/>
    </row>
    <row r="19" spans="1:9" s="51" customFormat="1" ht="12" customHeight="1">
      <c r="A19" s="71"/>
      <c r="B19" s="22"/>
      <c r="C19" s="22"/>
      <c r="D19" s="22"/>
      <c r="E19" s="22"/>
      <c r="F19" s="22"/>
      <c r="G19" s="22"/>
      <c r="H19" s="23"/>
    </row>
    <row r="20" spans="1:9" s="51" customFormat="1" ht="12" customHeight="1">
      <c r="A20" s="71"/>
      <c r="B20" s="22"/>
      <c r="C20" s="22"/>
      <c r="D20" s="22"/>
      <c r="E20" s="22"/>
      <c r="F20" s="22"/>
      <c r="G20" s="22"/>
      <c r="H20" s="23"/>
    </row>
    <row r="21" spans="1:9" s="51" customFormat="1" ht="12" customHeight="1">
      <c r="A21" s="71"/>
      <c r="B21" s="22"/>
      <c r="C21" s="22"/>
      <c r="D21" s="22"/>
      <c r="E21" s="22"/>
      <c r="F21" s="22"/>
      <c r="G21" s="22"/>
      <c r="H21" s="23"/>
    </row>
    <row r="22" spans="1:9" s="51" customFormat="1" ht="12.75" customHeight="1">
      <c r="A22" s="71"/>
      <c r="B22" s="22"/>
      <c r="C22" s="22"/>
      <c r="D22" s="22"/>
      <c r="E22" s="22"/>
      <c r="F22" s="22"/>
      <c r="G22" s="22"/>
      <c r="H22" s="23"/>
    </row>
    <row r="23" spans="1:9" s="51" customFormat="1" ht="12.75" customHeight="1">
      <c r="A23" s="71"/>
      <c r="B23" s="22"/>
      <c r="C23" s="22"/>
      <c r="D23" s="22"/>
      <c r="E23" s="22"/>
      <c r="F23" s="22"/>
      <c r="G23" s="22"/>
      <c r="H23" s="23"/>
    </row>
    <row r="24" spans="1:9" s="62" customFormat="1" ht="12" customHeight="1">
      <c r="A24" s="71"/>
      <c r="B24" s="22"/>
      <c r="C24" s="22"/>
      <c r="D24" s="22"/>
      <c r="E24" s="22"/>
      <c r="F24" s="22"/>
      <c r="G24" s="22"/>
      <c r="H24" s="23"/>
    </row>
    <row r="25" spans="1:9" s="62" customFormat="1" ht="12" customHeight="1">
      <c r="A25" s="71"/>
      <c r="B25" s="22"/>
      <c r="C25" s="22"/>
      <c r="D25" s="22"/>
      <c r="E25" s="22"/>
      <c r="F25" s="22"/>
      <c r="G25" s="22"/>
      <c r="H25" s="23"/>
    </row>
    <row r="26" spans="1:9" s="51" customFormat="1" ht="7.5" customHeight="1">
      <c r="A26" s="71"/>
      <c r="B26" s="22"/>
      <c r="C26" s="22"/>
      <c r="D26" s="22"/>
      <c r="E26" s="22"/>
      <c r="F26" s="22"/>
      <c r="G26" s="22"/>
      <c r="H26" s="23"/>
    </row>
    <row r="27" spans="1:9" ht="7.5" customHeight="1">
      <c r="B27" s="283"/>
      <c r="C27" s="283"/>
      <c r="D27" s="283"/>
      <c r="E27" s="283"/>
      <c r="F27" s="283"/>
      <c r="G27" s="283"/>
      <c r="H27" s="283"/>
      <c r="I27" s="3"/>
    </row>
    <row r="28" spans="1:9" s="19" customFormat="1" ht="22.5" customHeight="1">
      <c r="A28" s="71"/>
      <c r="B28" s="237" t="s">
        <v>51</v>
      </c>
      <c r="C28" s="237"/>
      <c r="D28" s="237"/>
      <c r="E28" s="237"/>
      <c r="F28" s="237"/>
      <c r="G28" s="264">
        <v>107</v>
      </c>
      <c r="H28" s="264"/>
      <c r="I28" s="20"/>
    </row>
    <row r="49" spans="2:9">
      <c r="B49" s="236"/>
      <c r="C49" s="236"/>
      <c r="D49" s="236"/>
      <c r="E49" s="236"/>
      <c r="F49" s="236"/>
      <c r="G49" s="236"/>
      <c r="H49" s="236"/>
      <c r="I49" s="236"/>
    </row>
  </sheetData>
  <mergeCells count="29">
    <mergeCell ref="B49:I49"/>
    <mergeCell ref="B27:H27"/>
    <mergeCell ref="B28:F28"/>
    <mergeCell ref="G28:H28"/>
    <mergeCell ref="B12:E12"/>
    <mergeCell ref="B16:E16"/>
    <mergeCell ref="B14:F14"/>
    <mergeCell ref="B6:D7"/>
    <mergeCell ref="B8:D9"/>
    <mergeCell ref="B10:D11"/>
    <mergeCell ref="E6:F6"/>
    <mergeCell ref="E7:F7"/>
    <mergeCell ref="E8:F8"/>
    <mergeCell ref="E11:F11"/>
    <mergeCell ref="E9:F9"/>
    <mergeCell ref="E10:F10"/>
    <mergeCell ref="G3:H3"/>
    <mergeCell ref="G4:H4"/>
    <mergeCell ref="G5:H5"/>
    <mergeCell ref="B1:I1"/>
    <mergeCell ref="E4:F4"/>
    <mergeCell ref="E5:F5"/>
    <mergeCell ref="B4:D5"/>
    <mergeCell ref="B2:C2"/>
    <mergeCell ref="G8:H8"/>
    <mergeCell ref="G9:H9"/>
    <mergeCell ref="G10:H10"/>
    <mergeCell ref="G11:H11"/>
    <mergeCell ref="G6:H7"/>
  </mergeCells>
  <phoneticPr fontId="6" type="noConversion"/>
  <printOptions horizontalCentered="1"/>
  <pageMargins left="0.98425196850393704" right="0.94488188976377963" top="0.59055118110236227" bottom="0.19685039370078741" header="0" footer="0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7434"/>
  </sheetPr>
  <dimension ref="A1:P29"/>
  <sheetViews>
    <sheetView rightToLeft="1" view="pageBreakPreview" topLeftCell="A19" zoomScaleSheetLayoutView="100" workbookViewId="0">
      <selection sqref="A1:E1"/>
    </sheetView>
  </sheetViews>
  <sheetFormatPr defaultRowHeight="12.75"/>
  <cols>
    <col min="1" max="1" width="12.7109375" style="71" customWidth="1"/>
    <col min="2" max="2" width="19.5703125" style="71" customWidth="1"/>
    <col min="3" max="3" width="22.28515625" style="71" customWidth="1"/>
    <col min="4" max="4" width="20.140625" style="71" customWidth="1"/>
    <col min="5" max="5" width="16.7109375" style="71" customWidth="1"/>
    <col min="6" max="6" width="17.140625" style="71" customWidth="1"/>
    <col min="7" max="7" width="15.42578125" style="71" customWidth="1"/>
    <col min="8" max="8" width="12" style="71" customWidth="1"/>
    <col min="9" max="16384" width="9.140625" style="71"/>
  </cols>
  <sheetData>
    <row r="1" spans="1:16" ht="32.25" customHeight="1">
      <c r="A1" s="250" t="s">
        <v>125</v>
      </c>
      <c r="B1" s="250"/>
      <c r="C1" s="250"/>
      <c r="D1" s="250"/>
      <c r="E1" s="250"/>
    </row>
    <row r="2" spans="1:16" ht="16.5" thickBot="1">
      <c r="A2" s="67" t="s">
        <v>102</v>
      </c>
      <c r="B2" s="68"/>
      <c r="C2" s="68"/>
      <c r="D2" s="218" t="s">
        <v>110</v>
      </c>
      <c r="E2" s="224" t="s">
        <v>119</v>
      </c>
    </row>
    <row r="3" spans="1:16" ht="33.75" customHeight="1" thickTop="1">
      <c r="A3" s="172" t="s">
        <v>14</v>
      </c>
      <c r="B3" s="172" t="s">
        <v>76</v>
      </c>
      <c r="C3" s="172" t="s">
        <v>77</v>
      </c>
      <c r="D3" s="172" t="s">
        <v>75</v>
      </c>
      <c r="E3" s="193" t="s">
        <v>120</v>
      </c>
      <c r="F3" s="180" t="s">
        <v>76</v>
      </c>
      <c r="G3" s="180" t="s">
        <v>77</v>
      </c>
      <c r="H3" s="180" t="s">
        <v>75</v>
      </c>
    </row>
    <row r="4" spans="1:16" ht="21.95" customHeight="1">
      <c r="A4" s="65" t="s">
        <v>15</v>
      </c>
      <c r="B4" s="132">
        <v>6211533</v>
      </c>
      <c r="C4" s="132">
        <v>56364417</v>
      </c>
      <c r="D4" s="132">
        <v>0</v>
      </c>
      <c r="E4" s="132">
        <f>B4+C4+D4</f>
        <v>62575950</v>
      </c>
      <c r="F4" s="16">
        <v>479.30839900000001</v>
      </c>
      <c r="G4" s="16">
        <v>206.79487599999999</v>
      </c>
      <c r="H4" s="16">
        <v>6.2545070000000003</v>
      </c>
    </row>
    <row r="5" spans="1:16" s="163" customFormat="1" ht="21.95" customHeight="1">
      <c r="A5" s="66" t="s">
        <v>1</v>
      </c>
      <c r="B5" s="133">
        <v>0</v>
      </c>
      <c r="C5" s="133">
        <v>427</v>
      </c>
      <c r="D5" s="133">
        <v>0</v>
      </c>
      <c r="E5" s="133">
        <f>SUM(B5:D5)</f>
        <v>427</v>
      </c>
      <c r="F5" s="188"/>
      <c r="G5" s="188"/>
      <c r="H5" s="188"/>
    </row>
    <row r="6" spans="1:16" ht="21.95" customHeight="1">
      <c r="A6" s="66" t="s">
        <v>2</v>
      </c>
      <c r="B6" s="134">
        <v>206537227</v>
      </c>
      <c r="C6" s="134">
        <v>6515</v>
      </c>
      <c r="D6" s="134">
        <v>0</v>
      </c>
      <c r="E6" s="132">
        <f>B6+C6+D6</f>
        <v>206543742</v>
      </c>
    </row>
    <row r="7" spans="1:16" ht="21.95" customHeight="1">
      <c r="A7" s="66" t="s">
        <v>30</v>
      </c>
      <c r="B7" s="134">
        <v>151936311</v>
      </c>
      <c r="C7" s="134">
        <v>4346489</v>
      </c>
      <c r="D7" s="134">
        <v>1705276</v>
      </c>
      <c r="E7" s="132">
        <f>ROUND((B7+C7+D7),0)</f>
        <v>157988076</v>
      </c>
      <c r="M7" s="71">
        <v>0</v>
      </c>
    </row>
    <row r="8" spans="1:16" ht="21.95" customHeight="1">
      <c r="A8" s="66" t="s">
        <v>3</v>
      </c>
      <c r="B8" s="134">
        <v>67636821</v>
      </c>
      <c r="C8" s="134">
        <v>1209579</v>
      </c>
      <c r="D8" s="132">
        <v>0</v>
      </c>
      <c r="E8" s="132">
        <f t="shared" ref="E8:E18" si="0">ROUND((B8+C8+D8),0)</f>
        <v>68846400</v>
      </c>
    </row>
    <row r="9" spans="1:16" ht="21.95" customHeight="1">
      <c r="A9" s="66" t="s">
        <v>4</v>
      </c>
      <c r="B9" s="164"/>
      <c r="C9" s="165"/>
      <c r="D9" s="166"/>
      <c r="E9" s="166"/>
    </row>
    <row r="10" spans="1:16" ht="21.95" customHeight="1">
      <c r="A10" s="66" t="s">
        <v>5</v>
      </c>
      <c r="B10" s="133">
        <v>3929423</v>
      </c>
      <c r="C10" s="133">
        <v>3609590</v>
      </c>
      <c r="D10" s="132">
        <v>0</v>
      </c>
      <c r="E10" s="132">
        <f>ROUND((B10+C10+D10),0)</f>
        <v>7539013</v>
      </c>
    </row>
    <row r="11" spans="1:16" ht="21.95" customHeight="1">
      <c r="A11" s="66" t="s">
        <v>6</v>
      </c>
      <c r="B11" s="133">
        <v>1189592</v>
      </c>
      <c r="C11" s="133">
        <v>5572973</v>
      </c>
      <c r="D11" s="132">
        <v>0</v>
      </c>
      <c r="E11" s="132">
        <f t="shared" si="0"/>
        <v>6762565</v>
      </c>
    </row>
    <row r="12" spans="1:16" s="163" customFormat="1" ht="21.95" customHeight="1">
      <c r="A12" s="66" t="s">
        <v>7</v>
      </c>
      <c r="B12" s="134">
        <v>2853326</v>
      </c>
      <c r="C12" s="134">
        <v>107674587</v>
      </c>
      <c r="D12" s="134">
        <v>0</v>
      </c>
      <c r="E12" s="132">
        <f t="shared" si="0"/>
        <v>110527913</v>
      </c>
    </row>
    <row r="13" spans="1:16" ht="21.95" customHeight="1">
      <c r="A13" s="66" t="s">
        <v>8</v>
      </c>
      <c r="B13" s="164"/>
      <c r="C13" s="164"/>
      <c r="D13" s="164"/>
      <c r="E13" s="166"/>
    </row>
    <row r="14" spans="1:16" ht="21.95" customHeight="1">
      <c r="A14" s="66" t="s">
        <v>9</v>
      </c>
      <c r="B14" s="164"/>
      <c r="C14" s="164"/>
      <c r="D14" s="166"/>
      <c r="E14" s="166"/>
    </row>
    <row r="15" spans="1:16" ht="21.95" customHeight="1">
      <c r="A15" s="66" t="s">
        <v>10</v>
      </c>
      <c r="B15" s="133">
        <v>8295834</v>
      </c>
      <c r="C15" s="40">
        <v>9828960</v>
      </c>
      <c r="D15" s="132">
        <v>0</v>
      </c>
      <c r="E15" s="132">
        <f t="shared" si="0"/>
        <v>18124794</v>
      </c>
    </row>
    <row r="16" spans="1:16" s="163" customFormat="1" ht="21.95" customHeight="1">
      <c r="A16" s="66" t="s">
        <v>11</v>
      </c>
      <c r="B16" s="133">
        <v>408138</v>
      </c>
      <c r="C16" s="133">
        <v>2848283</v>
      </c>
      <c r="D16" s="132">
        <v>3183088</v>
      </c>
      <c r="E16" s="132">
        <f t="shared" si="0"/>
        <v>6439509</v>
      </c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</row>
    <row r="17" spans="1:5" ht="21.95" customHeight="1">
      <c r="A17" s="66" t="s">
        <v>12</v>
      </c>
      <c r="B17" s="133">
        <v>1476406</v>
      </c>
      <c r="C17" s="40">
        <v>2581676</v>
      </c>
      <c r="D17" s="132">
        <v>0</v>
      </c>
      <c r="E17" s="132">
        <f t="shared" si="0"/>
        <v>4058082</v>
      </c>
    </row>
    <row r="18" spans="1:5" ht="21.95" customHeight="1" thickBot="1">
      <c r="A18" s="84" t="s">
        <v>13</v>
      </c>
      <c r="B18" s="40">
        <v>28833788</v>
      </c>
      <c r="C18" s="40">
        <v>12751380</v>
      </c>
      <c r="D18" s="40">
        <v>1366143</v>
      </c>
      <c r="E18" s="132">
        <f t="shared" si="0"/>
        <v>42951311</v>
      </c>
    </row>
    <row r="19" spans="1:5" ht="21.95" customHeight="1" thickTop="1" thickBot="1">
      <c r="A19" s="128" t="s">
        <v>41</v>
      </c>
      <c r="B19" s="131">
        <f>SUM(B4:B18)</f>
        <v>479308399</v>
      </c>
      <c r="C19" s="131">
        <f>SUM(C4:C18)</f>
        <v>206794876</v>
      </c>
      <c r="D19" s="131">
        <f>SUM(D4:D18)</f>
        <v>6254507</v>
      </c>
      <c r="E19" s="131">
        <f>SUM(E4:E18)</f>
        <v>692357782</v>
      </c>
    </row>
    <row r="20" spans="1:5" ht="9" customHeight="1" thickTop="1">
      <c r="A20" s="220"/>
      <c r="B20" s="223"/>
      <c r="C20" s="223"/>
      <c r="D20" s="223"/>
      <c r="E20" s="223"/>
    </row>
    <row r="21" spans="1:5" ht="13.5" customHeight="1">
      <c r="A21" s="259" t="s">
        <v>91</v>
      </c>
      <c r="B21" s="259"/>
      <c r="C21" s="259"/>
      <c r="D21" s="259"/>
      <c r="E21" s="259"/>
    </row>
    <row r="22" spans="1:5" ht="6" customHeight="1">
      <c r="A22" s="192"/>
      <c r="B22" s="192"/>
      <c r="C22" s="192"/>
      <c r="D22" s="192"/>
      <c r="E22" s="192"/>
    </row>
    <row r="23" spans="1:5" ht="18" customHeight="1">
      <c r="A23" s="259" t="s">
        <v>78</v>
      </c>
      <c r="B23" s="259"/>
      <c r="C23" s="259"/>
      <c r="D23" s="135"/>
      <c r="E23" s="135"/>
    </row>
    <row r="24" spans="1:5" ht="6" customHeight="1">
      <c r="A24" s="192"/>
      <c r="B24" s="192"/>
      <c r="C24" s="192"/>
      <c r="D24" s="135"/>
      <c r="E24" s="135"/>
    </row>
    <row r="25" spans="1:5" ht="15" customHeight="1">
      <c r="A25" s="236" t="s">
        <v>118</v>
      </c>
      <c r="B25" s="236"/>
      <c r="C25" s="236"/>
      <c r="D25" s="236"/>
      <c r="E25" s="236"/>
    </row>
    <row r="26" spans="1:5" ht="15" customHeight="1">
      <c r="A26" s="190"/>
      <c r="B26" s="190"/>
      <c r="C26" s="190"/>
      <c r="D26" s="190"/>
      <c r="E26" s="190"/>
    </row>
    <row r="27" spans="1:5" ht="28.5" customHeight="1">
      <c r="A27" s="143"/>
      <c r="B27" s="143"/>
      <c r="C27" s="143"/>
      <c r="D27" s="1"/>
      <c r="E27" s="1"/>
    </row>
    <row r="28" spans="1:5" ht="21.75" customHeight="1">
      <c r="A28" s="237" t="s">
        <v>51</v>
      </c>
      <c r="B28" s="237"/>
      <c r="C28" s="237"/>
      <c r="D28" s="127">
        <v>108</v>
      </c>
      <c r="E28" s="127"/>
    </row>
    <row r="29" spans="1:5">
      <c r="B29" s="130"/>
      <c r="C29" s="130"/>
      <c r="D29" s="130"/>
      <c r="E29" s="130"/>
    </row>
  </sheetData>
  <mergeCells count="5">
    <mergeCell ref="A21:E21"/>
    <mergeCell ref="A28:C28"/>
    <mergeCell ref="A1:E1"/>
    <mergeCell ref="A23:C23"/>
    <mergeCell ref="A25:E25"/>
  </mergeCells>
  <printOptions horizontalCentered="1"/>
  <pageMargins left="0.51181102362204722" right="0.51181102362204722" top="0.55118110236220474" bottom="0.35433070866141736" header="0.31496062992125984" footer="0.31496062992125984"/>
  <pageSetup paperSize="9" scale="9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9</vt:i4>
      </vt:variant>
      <vt:variant>
        <vt:lpstr>نطاقات تمت تسميتها</vt:lpstr>
      </vt:variant>
      <vt:variant>
        <vt:i4>9</vt:i4>
      </vt:variant>
    </vt:vector>
  </HeadingPairs>
  <TitlesOfParts>
    <vt:vector size="18" baseType="lpstr">
      <vt:lpstr>1-3</vt:lpstr>
      <vt:lpstr>2-3</vt:lpstr>
      <vt:lpstr>3-3</vt:lpstr>
      <vt:lpstr>4-3</vt:lpstr>
      <vt:lpstr>5-3</vt:lpstr>
      <vt:lpstr>6-3</vt:lpstr>
      <vt:lpstr>7-3</vt:lpstr>
      <vt:lpstr>8-3</vt:lpstr>
      <vt:lpstr>9-3</vt:lpstr>
      <vt:lpstr>'1-3'!Print_Area</vt:lpstr>
      <vt:lpstr>'2-3'!Print_Area</vt:lpstr>
      <vt:lpstr>'3-3'!Print_Area</vt:lpstr>
      <vt:lpstr>'4-3'!Print_Area</vt:lpstr>
      <vt:lpstr>'5-3'!Print_Area</vt:lpstr>
      <vt:lpstr>'6-3'!Print_Area</vt:lpstr>
      <vt:lpstr>'7-3'!Print_Area</vt:lpstr>
      <vt:lpstr>'8-3'!Print_Area</vt:lpstr>
      <vt:lpstr>'9-3'!Print_Area</vt:lpstr>
    </vt:vector>
  </TitlesOfParts>
  <Company>sahar computer center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Bsoli</dc:creator>
  <cp:lastModifiedBy>Nada Hadi</cp:lastModifiedBy>
  <cp:lastPrinted>2018-11-08T03:47:29Z</cp:lastPrinted>
  <dcterms:created xsi:type="dcterms:W3CDTF">2003-08-26T22:37:50Z</dcterms:created>
  <dcterms:modified xsi:type="dcterms:W3CDTF">2018-11-08T03:47:30Z</dcterms:modified>
</cp:coreProperties>
</file>